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384"/>
  </bookViews>
  <sheets>
    <sheet name="Смета" sheetId="1" r:id="rId1"/>
  </sheets>
  <definedNames>
    <definedName name="_xlnm.Print_Titles" localSheetId="0">Смета!$1:$1</definedName>
  </definedNames>
  <calcPr calcId="152511"/>
</workbook>
</file>

<file path=xl/calcChain.xml><?xml version="1.0" encoding="utf-8"?>
<calcChain xmlns="http://schemas.openxmlformats.org/spreadsheetml/2006/main">
  <c r="M74" i="1" l="1"/>
  <c r="L74" i="1"/>
  <c r="K74" i="1"/>
  <c r="J74" i="1"/>
  <c r="I74" i="1"/>
  <c r="H74" i="1"/>
  <c r="N74" i="1" s="1"/>
  <c r="O74" i="1" s="1"/>
  <c r="M73" i="1"/>
  <c r="L73" i="1"/>
  <c r="K73" i="1"/>
  <c r="J73" i="1"/>
  <c r="I73" i="1"/>
  <c r="H73" i="1"/>
  <c r="N73" i="1" s="1"/>
  <c r="O73" i="1" s="1"/>
  <c r="M71" i="1"/>
  <c r="L71" i="1"/>
  <c r="K71" i="1"/>
  <c r="J71" i="1"/>
  <c r="I71" i="1"/>
  <c r="H71" i="1"/>
  <c r="N71" i="1" s="1"/>
  <c r="O71" i="1" s="1"/>
  <c r="M70" i="1"/>
  <c r="L70" i="1"/>
  <c r="K70" i="1"/>
  <c r="J70" i="1"/>
  <c r="I70" i="1"/>
  <c r="H70" i="1"/>
  <c r="N70" i="1" s="1"/>
  <c r="O70" i="1" s="1"/>
  <c r="M69" i="1"/>
  <c r="L69" i="1"/>
  <c r="K69" i="1"/>
  <c r="J69" i="1"/>
  <c r="I69" i="1"/>
  <c r="H69" i="1"/>
  <c r="N69" i="1" s="1"/>
  <c r="O69" i="1" s="1"/>
  <c r="M68" i="1"/>
  <c r="L68" i="1"/>
  <c r="K68" i="1"/>
  <c r="J68" i="1"/>
  <c r="I68" i="1"/>
  <c r="H68" i="1"/>
  <c r="N68" i="1" s="1"/>
  <c r="O68" i="1" s="1"/>
  <c r="M67" i="1"/>
  <c r="L67" i="1"/>
  <c r="K67" i="1"/>
  <c r="J67" i="1"/>
  <c r="I67" i="1"/>
  <c r="H67" i="1"/>
  <c r="N67" i="1" s="1"/>
  <c r="O67" i="1" s="1"/>
  <c r="M66" i="1"/>
  <c r="L66" i="1"/>
  <c r="K66" i="1"/>
  <c r="J66" i="1"/>
  <c r="I66" i="1"/>
  <c r="H66" i="1"/>
  <c r="N66" i="1" s="1"/>
  <c r="O66" i="1" s="1"/>
  <c r="M65" i="1"/>
  <c r="L65" i="1"/>
  <c r="K65" i="1"/>
  <c r="J65" i="1"/>
  <c r="I65" i="1"/>
  <c r="H65" i="1"/>
  <c r="N65" i="1" s="1"/>
  <c r="O65" i="1" s="1"/>
  <c r="M64" i="1"/>
  <c r="L64" i="1"/>
  <c r="K64" i="1"/>
  <c r="J64" i="1"/>
  <c r="I64" i="1"/>
  <c r="H64" i="1"/>
  <c r="N64" i="1" s="1"/>
  <c r="O64" i="1" s="1"/>
  <c r="M63" i="1"/>
  <c r="L63" i="1"/>
  <c r="K63" i="1"/>
  <c r="J63" i="1"/>
  <c r="I63" i="1"/>
  <c r="H63" i="1"/>
  <c r="N63" i="1" s="1"/>
  <c r="O63" i="1" s="1"/>
  <c r="M62" i="1"/>
  <c r="L62" i="1"/>
  <c r="K62" i="1"/>
  <c r="J62" i="1"/>
  <c r="I62" i="1"/>
  <c r="H62" i="1"/>
  <c r="N62" i="1" s="1"/>
  <c r="O62" i="1" s="1"/>
  <c r="M60" i="1"/>
  <c r="L60" i="1"/>
  <c r="K60" i="1"/>
  <c r="J60" i="1"/>
  <c r="I60" i="1"/>
  <c r="H60" i="1"/>
  <c r="N60" i="1" s="1"/>
  <c r="O60" i="1" s="1"/>
  <c r="M59" i="1"/>
  <c r="L59" i="1"/>
  <c r="K59" i="1"/>
  <c r="J59" i="1"/>
  <c r="I59" i="1"/>
  <c r="H59" i="1"/>
  <c r="N59" i="1" s="1"/>
  <c r="O59" i="1" s="1"/>
  <c r="M58" i="1"/>
  <c r="L58" i="1"/>
  <c r="K58" i="1"/>
  <c r="J58" i="1"/>
  <c r="I58" i="1"/>
  <c r="H58" i="1"/>
  <c r="N58" i="1" s="1"/>
  <c r="O58" i="1" s="1"/>
  <c r="M57" i="1"/>
  <c r="L57" i="1"/>
  <c r="K57" i="1"/>
  <c r="J57" i="1"/>
  <c r="I57" i="1"/>
  <c r="H57" i="1"/>
  <c r="N57" i="1" s="1"/>
  <c r="O57" i="1" s="1"/>
  <c r="M56" i="1"/>
  <c r="L56" i="1"/>
  <c r="K56" i="1"/>
  <c r="J56" i="1"/>
  <c r="I56" i="1"/>
  <c r="H56" i="1"/>
  <c r="N56" i="1" s="1"/>
  <c r="O56" i="1" s="1"/>
  <c r="M55" i="1"/>
  <c r="L55" i="1"/>
  <c r="K55" i="1"/>
  <c r="J55" i="1"/>
  <c r="I55" i="1"/>
  <c r="H55" i="1"/>
  <c r="N55" i="1" s="1"/>
  <c r="O55" i="1" s="1"/>
  <c r="M54" i="1"/>
  <c r="L54" i="1"/>
  <c r="K54" i="1"/>
  <c r="J54" i="1"/>
  <c r="I54" i="1"/>
  <c r="H54" i="1"/>
  <c r="N54" i="1" s="1"/>
  <c r="O54" i="1" s="1"/>
  <c r="M53" i="1"/>
  <c r="L53" i="1"/>
  <c r="K53" i="1"/>
  <c r="J53" i="1"/>
  <c r="I53" i="1"/>
  <c r="H53" i="1"/>
  <c r="N53" i="1" s="1"/>
  <c r="O53" i="1" s="1"/>
  <c r="M52" i="1"/>
  <c r="L52" i="1"/>
  <c r="K52" i="1"/>
  <c r="J52" i="1"/>
  <c r="I52" i="1"/>
  <c r="H52" i="1"/>
  <c r="N52" i="1" s="1"/>
  <c r="O52" i="1" s="1"/>
  <c r="M50" i="1"/>
  <c r="L50" i="1"/>
  <c r="K50" i="1"/>
  <c r="J50" i="1"/>
  <c r="I50" i="1"/>
  <c r="H50" i="1"/>
  <c r="N50" i="1" s="1"/>
  <c r="O50" i="1" s="1"/>
  <c r="M48" i="1"/>
  <c r="L48" i="1"/>
  <c r="K48" i="1"/>
  <c r="J48" i="1"/>
  <c r="I48" i="1"/>
  <c r="H48" i="1"/>
  <c r="N48" i="1" s="1"/>
  <c r="O48" i="1" s="1"/>
  <c r="M47" i="1"/>
  <c r="L47" i="1"/>
  <c r="K47" i="1"/>
  <c r="J47" i="1"/>
  <c r="I47" i="1"/>
  <c r="H47" i="1"/>
  <c r="N47" i="1" s="1"/>
  <c r="O47" i="1" s="1"/>
  <c r="M46" i="1"/>
  <c r="L46" i="1"/>
  <c r="K46" i="1"/>
  <c r="J46" i="1"/>
  <c r="I46" i="1"/>
  <c r="H46" i="1"/>
  <c r="N46" i="1" s="1"/>
  <c r="O46" i="1" s="1"/>
  <c r="M45" i="1"/>
  <c r="L45" i="1"/>
  <c r="K45" i="1"/>
  <c r="J45" i="1"/>
  <c r="I45" i="1"/>
  <c r="H45" i="1"/>
  <c r="N45" i="1" s="1"/>
  <c r="O45" i="1" s="1"/>
  <c r="M44" i="1"/>
  <c r="L44" i="1"/>
  <c r="K44" i="1"/>
  <c r="J44" i="1"/>
  <c r="I44" i="1"/>
  <c r="H44" i="1"/>
  <c r="N44" i="1" s="1"/>
  <c r="O44" i="1" s="1"/>
  <c r="M43" i="1"/>
  <c r="L43" i="1"/>
  <c r="K43" i="1"/>
  <c r="J43" i="1"/>
  <c r="I43" i="1"/>
  <c r="H43" i="1"/>
  <c r="N43" i="1" s="1"/>
  <c r="O43" i="1" s="1"/>
  <c r="M42" i="1"/>
  <c r="L42" i="1"/>
  <c r="K42" i="1"/>
  <c r="J42" i="1"/>
  <c r="I42" i="1"/>
  <c r="H42" i="1"/>
  <c r="N42" i="1" s="1"/>
  <c r="O42" i="1" s="1"/>
  <c r="M41" i="1"/>
  <c r="L41" i="1"/>
  <c r="K41" i="1"/>
  <c r="J41" i="1"/>
  <c r="I41" i="1"/>
  <c r="H41" i="1"/>
  <c r="N41" i="1" s="1"/>
  <c r="O41" i="1" s="1"/>
  <c r="M40" i="1"/>
  <c r="L40" i="1"/>
  <c r="K40" i="1"/>
  <c r="J40" i="1"/>
  <c r="I40" i="1"/>
  <c r="H40" i="1"/>
  <c r="N40" i="1" s="1"/>
  <c r="O40" i="1" s="1"/>
  <c r="M39" i="1"/>
  <c r="L39" i="1"/>
  <c r="K39" i="1"/>
  <c r="J39" i="1"/>
  <c r="I39" i="1"/>
  <c r="H39" i="1"/>
  <c r="N39" i="1" s="1"/>
  <c r="O39" i="1" s="1"/>
  <c r="M38" i="1"/>
  <c r="L38" i="1"/>
  <c r="K38" i="1"/>
  <c r="J38" i="1"/>
  <c r="I38" i="1"/>
  <c r="H38" i="1"/>
  <c r="N38" i="1" s="1"/>
  <c r="O38" i="1" s="1"/>
  <c r="M37" i="1"/>
  <c r="L37" i="1"/>
  <c r="K37" i="1"/>
  <c r="J37" i="1"/>
  <c r="I37" i="1"/>
  <c r="H37" i="1"/>
  <c r="N37" i="1" s="1"/>
  <c r="O37" i="1" s="1"/>
  <c r="M35" i="1"/>
  <c r="L35" i="1"/>
  <c r="K35" i="1"/>
  <c r="J35" i="1"/>
  <c r="I35" i="1"/>
  <c r="H35" i="1"/>
  <c r="N35" i="1" s="1"/>
  <c r="O35" i="1" s="1"/>
  <c r="M34" i="1"/>
  <c r="L34" i="1"/>
  <c r="K34" i="1"/>
  <c r="J34" i="1"/>
  <c r="I34" i="1"/>
  <c r="H34" i="1"/>
  <c r="N34" i="1" s="1"/>
  <c r="O34" i="1" s="1"/>
  <c r="M33" i="1"/>
  <c r="L33" i="1"/>
  <c r="K33" i="1"/>
  <c r="J33" i="1"/>
  <c r="I33" i="1"/>
  <c r="H33" i="1"/>
  <c r="N33" i="1" s="1"/>
  <c r="O33" i="1" s="1"/>
  <c r="M32" i="1"/>
  <c r="L32" i="1"/>
  <c r="K32" i="1"/>
  <c r="J32" i="1"/>
  <c r="I32" i="1"/>
  <c r="H32" i="1"/>
  <c r="N32" i="1" s="1"/>
  <c r="O32" i="1" s="1"/>
  <c r="M30" i="1"/>
  <c r="L30" i="1"/>
  <c r="K30" i="1"/>
  <c r="J30" i="1"/>
  <c r="I30" i="1"/>
  <c r="H30" i="1"/>
  <c r="N30" i="1" s="1"/>
  <c r="O30" i="1" s="1"/>
  <c r="M29" i="1"/>
  <c r="L29" i="1"/>
  <c r="K29" i="1"/>
  <c r="J29" i="1"/>
  <c r="I29" i="1"/>
  <c r="H29" i="1"/>
  <c r="N29" i="1" s="1"/>
  <c r="O29" i="1" s="1"/>
  <c r="M27" i="1"/>
  <c r="L27" i="1"/>
  <c r="K27" i="1"/>
  <c r="J27" i="1"/>
  <c r="I27" i="1"/>
  <c r="H27" i="1"/>
  <c r="N27" i="1" s="1"/>
  <c r="O27" i="1" s="1"/>
  <c r="M26" i="1"/>
  <c r="L26" i="1"/>
  <c r="K26" i="1"/>
  <c r="J26" i="1"/>
  <c r="I26" i="1"/>
  <c r="H26" i="1"/>
  <c r="N26" i="1" s="1"/>
  <c r="O26" i="1" s="1"/>
  <c r="M24" i="1"/>
  <c r="L24" i="1"/>
  <c r="K24" i="1"/>
  <c r="J24" i="1"/>
  <c r="I24" i="1"/>
  <c r="H24" i="1"/>
  <c r="N24" i="1" s="1"/>
  <c r="O24" i="1" s="1"/>
  <c r="M23" i="1"/>
  <c r="L23" i="1"/>
  <c r="K23" i="1"/>
  <c r="J23" i="1"/>
  <c r="I23" i="1"/>
  <c r="H23" i="1"/>
  <c r="N23" i="1" s="1"/>
  <c r="O23" i="1" s="1"/>
  <c r="M21" i="1"/>
  <c r="L21" i="1"/>
  <c r="K21" i="1"/>
  <c r="J21" i="1"/>
  <c r="I21" i="1"/>
  <c r="H21" i="1"/>
  <c r="N21" i="1" s="1"/>
  <c r="O21" i="1" s="1"/>
  <c r="M20" i="1"/>
  <c r="L20" i="1"/>
  <c r="K20" i="1"/>
  <c r="J20" i="1"/>
  <c r="I20" i="1"/>
  <c r="H20" i="1"/>
  <c r="N20" i="1" s="1"/>
  <c r="O20" i="1" s="1"/>
  <c r="M19" i="1"/>
  <c r="L19" i="1"/>
  <c r="K19" i="1"/>
  <c r="J19" i="1"/>
  <c r="I19" i="1"/>
  <c r="H19" i="1"/>
  <c r="N19" i="1" s="1"/>
  <c r="O19" i="1" s="1"/>
  <c r="M18" i="1"/>
  <c r="L18" i="1"/>
  <c r="K18" i="1"/>
  <c r="J18" i="1"/>
  <c r="I18" i="1"/>
  <c r="H18" i="1"/>
  <c r="N18" i="1" s="1"/>
  <c r="O18" i="1" s="1"/>
  <c r="M17" i="1"/>
  <c r="L17" i="1"/>
  <c r="K17" i="1"/>
  <c r="J17" i="1"/>
  <c r="I17" i="1"/>
  <c r="H17" i="1"/>
  <c r="N17" i="1" s="1"/>
  <c r="O17" i="1" s="1"/>
  <c r="M16" i="1"/>
  <c r="L16" i="1"/>
  <c r="K16" i="1"/>
  <c r="J16" i="1"/>
  <c r="I16" i="1"/>
  <c r="H16" i="1"/>
  <c r="N16" i="1" s="1"/>
  <c r="O16" i="1" s="1"/>
  <c r="M15" i="1"/>
  <c r="L15" i="1"/>
  <c r="K15" i="1"/>
  <c r="J15" i="1"/>
  <c r="I15" i="1"/>
  <c r="H15" i="1"/>
  <c r="N15" i="1" s="1"/>
  <c r="O15" i="1" s="1"/>
  <c r="M14" i="1"/>
  <c r="L14" i="1"/>
  <c r="K14" i="1"/>
  <c r="J14" i="1"/>
  <c r="I14" i="1"/>
  <c r="H14" i="1"/>
  <c r="N14" i="1" s="1"/>
  <c r="O14" i="1" s="1"/>
  <c r="M13" i="1"/>
  <c r="L13" i="1"/>
  <c r="K13" i="1"/>
  <c r="J13" i="1"/>
  <c r="I13" i="1"/>
  <c r="H13" i="1"/>
  <c r="N13" i="1" s="1"/>
  <c r="O13" i="1" s="1"/>
  <c r="M11" i="1"/>
  <c r="L11" i="1"/>
  <c r="K11" i="1"/>
  <c r="J11" i="1"/>
  <c r="I11" i="1"/>
  <c r="H11" i="1"/>
  <c r="N11" i="1" s="1"/>
  <c r="O11" i="1" s="1"/>
  <c r="M10" i="1"/>
  <c r="L10" i="1"/>
  <c r="K10" i="1"/>
  <c r="J10" i="1"/>
  <c r="I10" i="1"/>
  <c r="H10" i="1"/>
  <c r="N10" i="1" s="1"/>
  <c r="O10" i="1" s="1"/>
  <c r="M9" i="1"/>
  <c r="L9" i="1"/>
  <c r="K9" i="1"/>
  <c r="J9" i="1"/>
  <c r="I9" i="1"/>
  <c r="H9" i="1"/>
  <c r="N9" i="1" s="1"/>
  <c r="O9" i="1" s="1"/>
  <c r="M8" i="1"/>
  <c r="L8" i="1"/>
  <c r="K8" i="1"/>
  <c r="J8" i="1"/>
  <c r="I8" i="1"/>
  <c r="H8" i="1"/>
  <c r="N8" i="1" s="1"/>
  <c r="O8" i="1" s="1"/>
  <c r="M7" i="1"/>
  <c r="L7" i="1"/>
  <c r="K7" i="1"/>
  <c r="J7" i="1"/>
  <c r="I7" i="1"/>
  <c r="H7" i="1"/>
  <c r="N7" i="1" s="1"/>
  <c r="O7" i="1" s="1"/>
  <c r="M5" i="1"/>
  <c r="M75" i="1" s="1"/>
  <c r="L5" i="1"/>
  <c r="K5" i="1"/>
  <c r="K75" i="1" s="1"/>
  <c r="J5" i="1"/>
  <c r="I5" i="1"/>
  <c r="I75" i="1" s="1"/>
  <c r="H5" i="1"/>
  <c r="H75" i="1" l="1"/>
  <c r="J75" i="1"/>
  <c r="L75" i="1"/>
  <c r="N5" i="1"/>
  <c r="O5" i="1" l="1"/>
  <c r="O75" i="1" s="1"/>
  <c r="N75" i="1"/>
</calcChain>
</file>

<file path=xl/sharedStrings.xml><?xml version="1.0" encoding="utf-8"?>
<sst xmlns="http://schemas.openxmlformats.org/spreadsheetml/2006/main" count="222" uniqueCount="211">
  <si>
    <t/>
  </si>
  <si>
    <t>№ ПП</t>
  </si>
  <si>
    <t>КОД</t>
  </si>
  <si>
    <t>НАЗВАНИЕ РАБОТЫ</t>
  </si>
  <si>
    <t>ИЗМЕРИТЕЛЬ</t>
  </si>
  <si>
    <t>КОЛ-ВО ЕД. ИЗМ.</t>
  </si>
  <si>
    <t>ПЕРИОДИЧ- НОСТЬ В ГОД</t>
  </si>
  <si>
    <t>ТРУД. РЕСУРСЫ, РУБ.</t>
  </si>
  <si>
    <t>МАТЕР. РЕСУРСЫ, РУБ.</t>
  </si>
  <si>
    <t>МАШ. МЕХ., РУБ.</t>
  </si>
  <si>
    <t>НАКЛ. РАСХОДЫ, РУБ.</t>
  </si>
  <si>
    <t>ПРИБЫЛЬ, РУБ.</t>
  </si>
  <si>
    <t>РАСХОДЫ НА УПРАВ., РУБ.</t>
  </si>
  <si>
    <t>СТОИМОСТЬ, РУБ.</t>
  </si>
  <si>
    <t>НА КВ.М/МЕС</t>
  </si>
  <si>
    <t>Дата изменения:</t>
  </si>
  <si>
    <t>25.11.2024</t>
  </si>
  <si>
    <t>Общая площадь, кв.м:</t>
  </si>
  <si>
    <t>1.1</t>
  </si>
  <si>
    <t>Фундаменты</t>
  </si>
  <si>
    <t>1.1.7.3</t>
  </si>
  <si>
    <t>Замена ламп накаливания</t>
  </si>
  <si>
    <t>100 шт.</t>
  </si>
  <si>
    <t>1.8</t>
  </si>
  <si>
    <t>Крыши и кровли</t>
  </si>
  <si>
    <t>1.8.1.1.1</t>
  </si>
  <si>
    <t>Смена поврежденных листов асбоцементных кровель</t>
  </si>
  <si>
    <t>100 м2 сменяемого покрытия</t>
  </si>
  <si>
    <t>1.8.2.8</t>
  </si>
  <si>
    <t>Укрепление стропильных ног</t>
  </si>
  <si>
    <t>1 м укрепляемой конструкции</t>
  </si>
  <si>
    <t>1.8.7.2</t>
  </si>
  <si>
    <t>Ремонт вентиляционных коробов</t>
  </si>
  <si>
    <t>100 м2 поверхности канала</t>
  </si>
  <si>
    <t>1.8.7.3</t>
  </si>
  <si>
    <t>Прочистка засоренных вентиляционных каналов</t>
  </si>
  <si>
    <t>10 м канала</t>
  </si>
  <si>
    <t>1.8.12.4</t>
  </si>
  <si>
    <t>Смена обделок примыканий из листовой стали к  вытяжным  трубам длиной до 1 м</t>
  </si>
  <si>
    <t>100 труб</t>
  </si>
  <si>
    <t>1.9</t>
  </si>
  <si>
    <t>Оконные и дверные проемы</t>
  </si>
  <si>
    <t>1.9.1.10</t>
  </si>
  <si>
    <t>Смена дверных петель при одной сменяемой петле в полотне</t>
  </si>
  <si>
    <t>10 петель</t>
  </si>
  <si>
    <t>1.9.1.16</t>
  </si>
  <si>
    <t>Смена пружины</t>
  </si>
  <si>
    <t>1 пружина</t>
  </si>
  <si>
    <t>1.9.1.17</t>
  </si>
  <si>
    <t>Смена ручки дверной</t>
  </si>
  <si>
    <t>1 ручка</t>
  </si>
  <si>
    <t>1.9.1.22</t>
  </si>
  <si>
    <t>Простая масляная окраска дверей</t>
  </si>
  <si>
    <t>100 кв.м.</t>
  </si>
  <si>
    <t>1.9.2.8</t>
  </si>
  <si>
    <t>Ремонт форточек</t>
  </si>
  <si>
    <t>10 форточек</t>
  </si>
  <si>
    <t>1.9.2.23</t>
  </si>
  <si>
    <t>Смена ручки оконной</t>
  </si>
  <si>
    <t>100 ручек</t>
  </si>
  <si>
    <t>1.9.2.25</t>
  </si>
  <si>
    <t>Простая масляная окраска оконных рам</t>
  </si>
  <si>
    <t>1.9.2.31</t>
  </si>
  <si>
    <t>Малый ремонт слухового окна с исправлением обшивки и переплета</t>
  </si>
  <si>
    <t>1 место</t>
  </si>
  <si>
    <t>1.9.2.32</t>
  </si>
  <si>
    <t>Остекление оконным стеклом окон в два переплета открывающихся в разные стороны</t>
  </si>
  <si>
    <t>100 м2 площади проемов по наружному обводу коробок</t>
  </si>
  <si>
    <t>1.10</t>
  </si>
  <si>
    <t>Лестницы</t>
  </si>
  <si>
    <t>1.10.7.1</t>
  </si>
  <si>
    <t>Окрашивание масляными составами торцов лестничных маршей и площадок</t>
  </si>
  <si>
    <t>100 м2 окрашенной поверхности</t>
  </si>
  <si>
    <t>1.10.7.2</t>
  </si>
  <si>
    <t>Окрашивание масляными составами деревянных поручней</t>
  </si>
  <si>
    <t>100  м поручня</t>
  </si>
  <si>
    <t>2.1</t>
  </si>
  <si>
    <t>Система теплоснабжения</t>
  </si>
  <si>
    <t>2.1.3.5.1</t>
  </si>
  <si>
    <t>Прочистка и промывка отопительных приборов радиаторов весом до 80 кг внутри здания</t>
  </si>
  <si>
    <t>100 приборов</t>
  </si>
  <si>
    <t>2.1.8.8.2</t>
  </si>
  <si>
    <t>Смена вентиля диаметром 25 мм</t>
  </si>
  <si>
    <t>100 вентилей</t>
  </si>
  <si>
    <t>2.3</t>
  </si>
  <si>
    <t>Система водоотведения</t>
  </si>
  <si>
    <t>2.3.1.2</t>
  </si>
  <si>
    <t>Смена горизонтальных участков трубопроводов канализации из полиэтиленовых труб высокой плотности диаметром 100 мм</t>
  </si>
  <si>
    <t>100 м трубопроводов</t>
  </si>
  <si>
    <t>2.3.4</t>
  </si>
  <si>
    <t>Устранение засоров внутренних канализационных трубопроводов</t>
  </si>
  <si>
    <t>100 м трубы</t>
  </si>
  <si>
    <t>2.5</t>
  </si>
  <si>
    <t>Внутридомовое электро-, радио- и телеоборудование</t>
  </si>
  <si>
    <t>2.5.1.4</t>
  </si>
  <si>
    <t>Замена предохранителя</t>
  </si>
  <si>
    <t>1 предохранитель</t>
  </si>
  <si>
    <t>2.5.5.2</t>
  </si>
  <si>
    <t>Ремонт щитков</t>
  </si>
  <si>
    <t>1 щит</t>
  </si>
  <si>
    <t>2.5.7.1</t>
  </si>
  <si>
    <t>Замена выключателя</t>
  </si>
  <si>
    <t>1 выключатель</t>
  </si>
  <si>
    <t>2.5.10</t>
  </si>
  <si>
    <t>Смена розеток</t>
  </si>
  <si>
    <t>2.6</t>
  </si>
  <si>
    <t>Подготовка многоквартирного дома к сезонной эксплуатации, проведение технических осмотров</t>
  </si>
  <si>
    <t>2.6.8.1</t>
  </si>
  <si>
    <t>Осмотр территории вокруг здания и фундамента</t>
  </si>
  <si>
    <t>1000 кв.м. общей площади</t>
  </si>
  <si>
    <t>2.6.8.2</t>
  </si>
  <si>
    <t>Осмотр кирпичных и железобетонных стен, фасадов</t>
  </si>
  <si>
    <t>2.6.8.4</t>
  </si>
  <si>
    <t>Осмотр деревянных перекрытий</t>
  </si>
  <si>
    <t>2.6.8.7</t>
  </si>
  <si>
    <t>Осмотр железобетонных покрытий</t>
  </si>
  <si>
    <t>1000 кв.м. полов</t>
  </si>
  <si>
    <t>2.6.8.8</t>
  </si>
  <si>
    <t>Осмотр внутренней отделки стен</t>
  </si>
  <si>
    <t>2.6.9.3</t>
  </si>
  <si>
    <t>Осмотр всех элементов кровель из штучных материалов, водостоков</t>
  </si>
  <si>
    <t>1000 кв.м. кровли</t>
  </si>
  <si>
    <t>2.6.12.2</t>
  </si>
  <si>
    <t>Проведение технических осмотров и устранение незначительных неисправностей в системе вентиляции</t>
  </si>
  <si>
    <t>2.6.14.1.1</t>
  </si>
  <si>
    <t>Осмотр внутриквартирных устройств системы центрального отопления</t>
  </si>
  <si>
    <t>2.6.14.1.2</t>
  </si>
  <si>
    <t>Осмотр устройства системы центрального отопления в чердачных и подвальных помещениях</t>
  </si>
  <si>
    <t>1000 м2 осматриваемых помещений</t>
  </si>
  <si>
    <t>2.6.14.3.10</t>
  </si>
  <si>
    <t>Проверка на прогрев отопительных приборов с регулировкой</t>
  </si>
  <si>
    <t>100 м трубопровода</t>
  </si>
  <si>
    <t>2.6.14.5.5.1</t>
  </si>
  <si>
    <t>Ликвидация воздушных пробок в стояке системы отопления</t>
  </si>
  <si>
    <t>100 стояков</t>
  </si>
  <si>
    <t>2.6.14.5.5.2</t>
  </si>
  <si>
    <t>Ликвидация воздушных пробок в радиаторном блоке</t>
  </si>
  <si>
    <t>100 радиаторных блоков</t>
  </si>
  <si>
    <t>2.7</t>
  </si>
  <si>
    <t>Устранение аварии и выполнение заявок населения</t>
  </si>
  <si>
    <t>2.7.2.4</t>
  </si>
  <si>
    <t>Устранение аварии на внутридомовых инженерных сетях при сроке эксплуатации многоквартирного дома от 51 до 70 лет</t>
  </si>
  <si>
    <t>1000 м2  общей площади жилых помещений, не оборудованных газовыми плитами (в год для одной смены)</t>
  </si>
  <si>
    <t>3.1</t>
  </si>
  <si>
    <t>Работы по санитарному содержанию помещений общего пользования, системы мусороудаления и фасадов</t>
  </si>
  <si>
    <t>3.1.1.1.1.1</t>
  </si>
  <si>
    <t>Подметание лестничных площадок и маршей нижних трех этажей с предварительным их увлажнением (в доме без лифтов и мусоропровода)</t>
  </si>
  <si>
    <t>100 м2 убираемой  площади</t>
  </si>
  <si>
    <t>3.1.1.1.2.1</t>
  </si>
  <si>
    <t>Мытье  лестничных площадок и маршей нижних трех этажей (в доме без лифтов и мусоропровода)</t>
  </si>
  <si>
    <t>100 м2  убираемой  площади</t>
  </si>
  <si>
    <t>3.1.4.1</t>
  </si>
  <si>
    <t>Мытье и протирка дверей  в помещениях общего пользования</t>
  </si>
  <si>
    <t>100 м2 дверей</t>
  </si>
  <si>
    <t>3.1.4.2</t>
  </si>
  <si>
    <t>Мытье и протирка оконных рам и переплетов в помещениях общего пользования</t>
  </si>
  <si>
    <t>100 м2 оконных рам</t>
  </si>
  <si>
    <t>3.1.5.2.1</t>
  </si>
  <si>
    <t>Уборка мусора и транспортировкой мусора до 50 м</t>
  </si>
  <si>
    <t>1 м3  мусора</t>
  </si>
  <si>
    <t>3.1.9.2</t>
  </si>
  <si>
    <t>Влажная протирка почтовых ящиков (с мылом)</t>
  </si>
  <si>
    <t>100 кв.м почтовых ящиков</t>
  </si>
  <si>
    <t>3.1.9.3</t>
  </si>
  <si>
    <t>Влажная протирка оконных решеток  (с моющим средством)</t>
  </si>
  <si>
    <t>100 кв.м решеток</t>
  </si>
  <si>
    <t>3.1.9.7</t>
  </si>
  <si>
    <t>Влажная протирка перил лестниц (с моющим средством)</t>
  </si>
  <si>
    <t>100 кв.м. перил лестниц</t>
  </si>
  <si>
    <t>3.1.9.11</t>
  </si>
  <si>
    <t>Влажная протирка отопительных приборов (моющим средством)</t>
  </si>
  <si>
    <t>100 кв. м отопительных приборов</t>
  </si>
  <si>
    <t>3.2</t>
  </si>
  <si>
    <t>Уборка земельного участка, входящего в состав общего имущества многоквартирного дома</t>
  </si>
  <si>
    <t>3.2.1.9</t>
  </si>
  <si>
    <t>Подметание в летний период  земельного участка без покрытия 3 класса</t>
  </si>
  <si>
    <t>1 000 кв.м. территории</t>
  </si>
  <si>
    <t>3.2.3.1.1</t>
  </si>
  <si>
    <t>Уборка газонов средней засоренности от листьев, сучьев, мусора</t>
  </si>
  <si>
    <t>100 000 кв.м. территории</t>
  </si>
  <si>
    <t>3.2.3.1.3</t>
  </si>
  <si>
    <t>Уборка газонов от случайного мусора</t>
  </si>
  <si>
    <t>100 000 м2</t>
  </si>
  <si>
    <t>3.2.3.1.5</t>
  </si>
  <si>
    <t>Стрижка газонов</t>
  </si>
  <si>
    <t>на 100 кв.м.</t>
  </si>
  <si>
    <t>3.2.6.6</t>
  </si>
  <si>
    <t>Сдвижка и подметание снега при отсутствии снегопада на придомовой территории с неусовершенствованным покрытием 3 класса</t>
  </si>
  <si>
    <t>10 000 кв.м. территории</t>
  </si>
  <si>
    <t>3.2.7.5</t>
  </si>
  <si>
    <t>Сдвижка и подметание снега при снегопаде на придомовой территории с неусовершенствованным покрытием 2 класса</t>
  </si>
  <si>
    <t>3.2.9.2</t>
  </si>
  <si>
    <t>Очистка кровли от снега, сбивание сосулек (при толщине слоя до 20 см)</t>
  </si>
  <si>
    <t>100 кв.м. кровли</t>
  </si>
  <si>
    <t>3.2.9.4</t>
  </si>
  <si>
    <t>Очистка кровли от мусора, листьев</t>
  </si>
  <si>
    <t>100 кв.м кровли</t>
  </si>
  <si>
    <t>3.2.11</t>
  </si>
  <si>
    <t>Уборка крыльца и площадки перед входом в подъезд (в холодный период года)</t>
  </si>
  <si>
    <t>100 кв.м</t>
  </si>
  <si>
    <t>3.2.12</t>
  </si>
  <si>
    <t>Уборка крыльца и площадки перед входом в подъезд (в теплый период года)</t>
  </si>
  <si>
    <t>3.4</t>
  </si>
  <si>
    <t>Прочие работы</t>
  </si>
  <si>
    <t>3.4.1.3</t>
  </si>
  <si>
    <t>Дератизация чердаков и подвалов с применением готовой приманки типа "Шторм" -  антикоагулянта II поколения</t>
  </si>
  <si>
    <t>1000 м2  обрабатываемых  помещений</t>
  </si>
  <si>
    <t>3.4.2</t>
  </si>
  <si>
    <t>Дезинсекция  подвалов</t>
  </si>
  <si>
    <t>ИТОГО:</t>
  </si>
  <si>
    <t>1.13 МКД коридорного типа с эл.плитами, уборкой МОП и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</si>
</sst>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.00"/>
  </numFmts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9"/>
      <color rgb="FFFFFFFF"/>
      <name val="Calibri"/>
      <family val="2"/>
      <charset val="204"/>
    </font>
    <font>
      <b/>
      <sz val="18"/>
      <color rgb="FF000099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0"/>
      <color rgb="FFFFFFFF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546E7A"/>
      </patternFill>
    </fill>
    <fill>
      <patternFill patternType="solid">
        <fgColor rgb="FFDCE6F1"/>
      </patternFill>
    </fill>
    <fill>
      <patternFill patternType="solid">
        <fgColor rgb="FFF9F7ED"/>
      </patternFill>
    </fill>
    <fill>
      <patternFill patternType="solid">
        <fgColor rgb="FFF5F2E0"/>
      </patternFill>
    </fill>
    <fill>
      <patternFill patternType="solid">
        <fgColor rgb="FFEBF1DE"/>
      </patternFill>
    </fill>
  </fills>
  <borders count="12">
    <border>
      <left/>
      <right/>
      <top/>
      <bottom/>
      <diagonal/>
    </border>
    <border>
      <left style="thick">
        <color rgb="FF000000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top" wrapText="1" indent="1"/>
    </xf>
    <xf numFmtId="49" fontId="2" fillId="0" borderId="0" xfId="0" applyNumberFormat="1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indent="1"/>
    </xf>
    <xf numFmtId="164" fontId="2" fillId="0" borderId="0" xfId="0" applyNumberFormat="1" applyFont="1" applyAlignment="1">
      <alignment horizontal="right" vertical="top" indent="1"/>
    </xf>
    <xf numFmtId="2" fontId="2" fillId="0" borderId="0" xfId="0" applyNumberFormat="1" applyFont="1" applyAlignment="1">
      <alignment horizontal="right" vertical="top" indent="1"/>
    </xf>
    <xf numFmtId="0" fontId="4" fillId="0" borderId="0" xfId="0" applyFont="1" applyAlignment="1">
      <alignment horizontal="center" vertical="center" wrapText="1" indent="1"/>
    </xf>
    <xf numFmtId="0" fontId="4" fillId="2" borderId="1" xfId="0" applyFont="1" applyFill="1" applyBorder="1" applyAlignment="1">
      <alignment horizontal="center" vertical="center" wrapText="1" indent="1"/>
    </xf>
    <xf numFmtId="49" fontId="4" fillId="2" borderId="2" xfId="0" applyNumberFormat="1" applyFont="1" applyFill="1" applyBorder="1" applyAlignment="1">
      <alignment horizontal="center" vertical="center" wrapText="1" indent="1"/>
    </xf>
    <xf numFmtId="0" fontId="4" fillId="2" borderId="2" xfId="0" applyFont="1" applyFill="1" applyBorder="1" applyAlignment="1">
      <alignment horizontal="center" vertical="center" wrapText="1" indent="1"/>
    </xf>
    <xf numFmtId="164" fontId="4" fillId="2" borderId="2" xfId="0" applyNumberFormat="1" applyFont="1" applyFill="1" applyBorder="1" applyAlignment="1">
      <alignment horizontal="center" vertical="center" wrapText="1" indent="1"/>
    </xf>
    <xf numFmtId="2" fontId="4" fillId="2" borderId="3" xfId="0" applyNumberFormat="1" applyFont="1" applyFill="1" applyBorder="1" applyAlignment="1">
      <alignment horizontal="center" vertical="center" wrapText="1" indent="1"/>
    </xf>
    <xf numFmtId="0" fontId="6" fillId="0" borderId="6" xfId="0" applyFont="1" applyBorder="1" applyAlignment="1">
      <alignment horizontal="left" indent="1"/>
    </xf>
    <xf numFmtId="2" fontId="6" fillId="0" borderId="8" xfId="0" applyNumberFormat="1" applyFont="1" applyBorder="1" applyAlignment="1">
      <alignment horizontal="left" indent="1"/>
    </xf>
    <xf numFmtId="0" fontId="7" fillId="0" borderId="0" xfId="0" applyFont="1"/>
    <xf numFmtId="0" fontId="7" fillId="3" borderId="9" xfId="0" applyFont="1" applyFill="1" applyBorder="1" applyAlignment="1">
      <alignment horizontal="center" vertical="top" wrapText="1" indent="1"/>
    </xf>
    <xf numFmtId="49" fontId="7" fillId="3" borderId="10" xfId="0" applyNumberFormat="1" applyFont="1" applyFill="1" applyBorder="1" applyAlignment="1">
      <alignment horizontal="left" vertical="top" wrapText="1" indent="1"/>
    </xf>
    <xf numFmtId="0" fontId="1" fillId="0" borderId="9" xfId="0" applyFont="1" applyBorder="1" applyAlignment="1">
      <alignment horizontal="center" vertical="top" wrapText="1" indent="1"/>
    </xf>
    <xf numFmtId="49" fontId="2" fillId="0" borderId="10" xfId="0" applyNumberFormat="1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/>
    </xf>
    <xf numFmtId="0" fontId="3" fillId="4" borderId="10" xfId="0" applyFont="1" applyFill="1" applyBorder="1" applyAlignment="1">
      <alignment horizontal="right" vertical="top" indent="1"/>
    </xf>
    <xf numFmtId="0" fontId="3" fillId="5" borderId="10" xfId="0" applyFont="1" applyFill="1" applyBorder="1" applyAlignment="1">
      <alignment horizontal="right" vertical="top" indent="1"/>
    </xf>
    <xf numFmtId="164" fontId="2" fillId="0" borderId="10" xfId="0" applyNumberFormat="1" applyFont="1" applyBorder="1" applyAlignment="1">
      <alignment horizontal="right" vertical="top" indent="1"/>
    </xf>
    <xf numFmtId="164" fontId="2" fillId="6" borderId="10" xfId="0" applyNumberFormat="1" applyFont="1" applyFill="1" applyBorder="1" applyAlignment="1">
      <alignment horizontal="right" vertical="top" indent="1"/>
    </xf>
    <xf numFmtId="2" fontId="2" fillId="0" borderId="11" xfId="0" applyNumberFormat="1" applyFont="1" applyBorder="1" applyAlignment="1">
      <alignment horizontal="right" vertical="top" indent="1"/>
    </xf>
    <xf numFmtId="0" fontId="8" fillId="0" borderId="0" xfId="0" applyFont="1" applyAlignment="1">
      <alignment horizontal="right" vertical="center" wrapText="1" indent="1"/>
    </xf>
    <xf numFmtId="164" fontId="8" fillId="2" borderId="2" xfId="0" applyNumberFormat="1" applyFont="1" applyFill="1" applyBorder="1" applyAlignment="1">
      <alignment horizontal="right" vertical="center" wrapText="1" indent="1"/>
    </xf>
    <xf numFmtId="2" fontId="8" fillId="2" borderId="3" xfId="0" applyNumberFormat="1" applyFont="1" applyFill="1" applyBorder="1" applyAlignment="1">
      <alignment horizontal="right" vertical="center" wrapText="1" indent="1"/>
    </xf>
    <xf numFmtId="0" fontId="5" fillId="0" borderId="4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horizontal="right" indent="1"/>
    </xf>
    <xf numFmtId="164" fontId="6" fillId="0" borderId="7" xfId="0" applyNumberFormat="1" applyFont="1" applyBorder="1" applyAlignment="1">
      <alignment horizontal="right" indent="1"/>
    </xf>
    <xf numFmtId="0" fontId="7" fillId="3" borderId="1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workbookViewId="0">
      <pane ySplit="1" topLeftCell="A2" activePane="bottomLeft" state="frozen"/>
      <selection pane="bottomLeft" activeCell="B2" sqref="B2:L3"/>
    </sheetView>
  </sheetViews>
  <sheetFormatPr defaultRowHeight="15.6" x14ac:dyDescent="0.3"/>
  <cols>
    <col min="1" max="1" width="3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3" width="14" style="5" customWidth="1"/>
    <col min="14" max="14" width="16" style="5" customWidth="1"/>
    <col min="15" max="15" width="12" style="6" customWidth="1"/>
  </cols>
  <sheetData>
    <row r="1" spans="1:15" s="7" customFormat="1" ht="40.049999999999997" customHeight="1" x14ac:dyDescent="0.3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2" t="s">
        <v>14</v>
      </c>
    </row>
    <row r="2" spans="1:15" ht="14.4" x14ac:dyDescent="0.3">
      <c r="A2" t="s">
        <v>0</v>
      </c>
      <c r="B2" s="29" t="s">
        <v>210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 t="s">
        <v>15</v>
      </c>
      <c r="N2" s="30"/>
      <c r="O2" s="13" t="s">
        <v>16</v>
      </c>
    </row>
    <row r="3" spans="1:15" ht="14.4" x14ac:dyDescent="0.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1" t="s">
        <v>17</v>
      </c>
      <c r="N3" s="31"/>
      <c r="O3" s="14">
        <v>250</v>
      </c>
    </row>
    <row r="4" spans="1:15" s="15" customFormat="1" ht="14.4" x14ac:dyDescent="0.3">
      <c r="B4" s="16"/>
      <c r="C4" s="17" t="s">
        <v>18</v>
      </c>
      <c r="D4" s="32" t="s">
        <v>19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x14ac:dyDescent="0.3">
      <c r="B5" s="18">
        <v>1</v>
      </c>
      <c r="C5" s="19" t="s">
        <v>20</v>
      </c>
      <c r="D5" s="20" t="s">
        <v>21</v>
      </c>
      <c r="E5" s="20" t="s">
        <v>22</v>
      </c>
      <c r="F5" s="21">
        <v>0.01</v>
      </c>
      <c r="G5" s="22">
        <v>1</v>
      </c>
      <c r="H5" s="23">
        <f>F5 * G5 * 1966.15614</f>
        <v>19.6615614</v>
      </c>
      <c r="I5" s="23">
        <f>F5 * G5 * 4071.14</f>
        <v>40.711399999999998</v>
      </c>
      <c r="J5" s="23">
        <f>F5 * G5 * 0</f>
        <v>0</v>
      </c>
      <c r="K5" s="23">
        <f>F5 * G5 * 1872.173877</f>
        <v>18.721738769999998</v>
      </c>
      <c r="L5" s="23">
        <f>F5 * G5 * 875.934981</f>
        <v>8.7593498099999998</v>
      </c>
      <c r="M5" s="23">
        <f>F5 * G5 * 393.231228</f>
        <v>3.9323122800000001</v>
      </c>
      <c r="N5" s="24">
        <f>SUM(H5:M5)</f>
        <v>91.786362260000004</v>
      </c>
      <c r="O5" s="25">
        <f>IF(O3&gt;0,N5/O3/12,0)</f>
        <v>3.0595454086666668E-2</v>
      </c>
    </row>
    <row r="6" spans="1:15" s="15" customFormat="1" ht="14.4" x14ac:dyDescent="0.3">
      <c r="B6" s="16"/>
      <c r="C6" s="17" t="s">
        <v>23</v>
      </c>
      <c r="D6" s="32" t="s">
        <v>24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27.6" x14ac:dyDescent="0.3">
      <c r="B7" s="18">
        <v>2</v>
      </c>
      <c r="C7" s="19" t="s">
        <v>25</v>
      </c>
      <c r="D7" s="20" t="s">
        <v>26</v>
      </c>
      <c r="E7" s="20" t="s">
        <v>27</v>
      </c>
      <c r="F7" s="21">
        <v>0.01</v>
      </c>
      <c r="G7" s="22">
        <v>1</v>
      </c>
      <c r="H7" s="23">
        <f>F7 * G7 * 12003.5643</f>
        <v>120.03564300000001</v>
      </c>
      <c r="I7" s="23">
        <f>F7 * G7 * 59237.205398</f>
        <v>592.37205398000003</v>
      </c>
      <c r="J7" s="23">
        <f>F7 * G7 * 0</f>
        <v>0</v>
      </c>
      <c r="K7" s="23">
        <f>F7 * G7 * 11429.793926</f>
        <v>114.29793926000001</v>
      </c>
      <c r="L7" s="23">
        <f>F7 * G7 * 8975.019669</f>
        <v>89.750196689999996</v>
      </c>
      <c r="M7" s="23">
        <f>F7 * G7 * 2400.71286</f>
        <v>24.007128600000001</v>
      </c>
      <c r="N7" s="24">
        <f>SUM(H7:M7)</f>
        <v>940.46296153000003</v>
      </c>
      <c r="O7" s="25">
        <f>IF(O3&gt;0,N7/O3/12,0)</f>
        <v>0.31348765384333332</v>
      </c>
    </row>
    <row r="8" spans="1:15" ht="27.6" x14ac:dyDescent="0.3">
      <c r="B8" s="18">
        <v>3</v>
      </c>
      <c r="C8" s="19" t="s">
        <v>28</v>
      </c>
      <c r="D8" s="20" t="s">
        <v>29</v>
      </c>
      <c r="E8" s="20" t="s">
        <v>30</v>
      </c>
      <c r="F8" s="21"/>
      <c r="G8" s="22">
        <v>1</v>
      </c>
      <c r="H8" s="23">
        <f>F8 * G8 * 110.40936</f>
        <v>0</v>
      </c>
      <c r="I8" s="23">
        <f>F8 * G8 * 256.080353</f>
        <v>0</v>
      </c>
      <c r="J8" s="23">
        <f>F8 * G8 * 0.049562</f>
        <v>0</v>
      </c>
      <c r="K8" s="23">
        <f>F8 * G8 * 105.131793</f>
        <v>0</v>
      </c>
      <c r="L8" s="23">
        <f>F8 * G8 * 52.0909349999999</f>
        <v>0</v>
      </c>
      <c r="M8" s="23">
        <f>F8 * G8 * 22.081872</f>
        <v>0</v>
      </c>
      <c r="N8" s="24">
        <f>SUM(H8:M8)</f>
        <v>0</v>
      </c>
      <c r="O8" s="25">
        <f>IF(O3&gt;0,N8/O3/12,0)</f>
        <v>0</v>
      </c>
    </row>
    <row r="9" spans="1:15" ht="27.6" x14ac:dyDescent="0.3">
      <c r="B9" s="18">
        <v>4</v>
      </c>
      <c r="C9" s="19" t="s">
        <v>31</v>
      </c>
      <c r="D9" s="20" t="s">
        <v>32</v>
      </c>
      <c r="E9" s="20" t="s">
        <v>33</v>
      </c>
      <c r="F9" s="21">
        <v>1.4E-2</v>
      </c>
      <c r="G9" s="22">
        <v>1</v>
      </c>
      <c r="H9" s="23">
        <f>F9 * G9 * 46945.89</f>
        <v>657.24246000000005</v>
      </c>
      <c r="I9" s="23">
        <f>F9 * G9 * 52220.99688</f>
        <v>731.09395631999996</v>
      </c>
      <c r="J9" s="23">
        <f>F9 * G9 * 313.995</f>
        <v>4.3959299999999999</v>
      </c>
      <c r="K9" s="23">
        <f>F9 * G9 * 44964.77157</f>
        <v>629.50680197999998</v>
      </c>
      <c r="L9" s="23">
        <f>F9 * G9 * 16235.400266</f>
        <v>227.29560372400002</v>
      </c>
      <c r="M9" s="23">
        <f>F9 * G9 * 9444.396465</f>
        <v>132.22155050999999</v>
      </c>
      <c r="N9" s="24">
        <f>SUM(H9:M9)</f>
        <v>2381.7563025339996</v>
      </c>
      <c r="O9" s="25">
        <f>IF(O3&gt;0,N9/O3/12,0)</f>
        <v>0.79391876751133317</v>
      </c>
    </row>
    <row r="10" spans="1:15" x14ac:dyDescent="0.3">
      <c r="B10" s="18">
        <v>5</v>
      </c>
      <c r="C10" s="19" t="s">
        <v>34</v>
      </c>
      <c r="D10" s="20" t="s">
        <v>35</v>
      </c>
      <c r="E10" s="20" t="s">
        <v>36</v>
      </c>
      <c r="F10" s="21">
        <v>0.25</v>
      </c>
      <c r="G10" s="22">
        <v>1</v>
      </c>
      <c r="H10" s="23">
        <f>F10 * G10 * 498.46212</f>
        <v>124.61553000000001</v>
      </c>
      <c r="I10" s="23">
        <f>F10 * G10 * 99.49633</f>
        <v>24.8740825</v>
      </c>
      <c r="J10" s="23">
        <f>F10 * G10 * 0</f>
        <v>0</v>
      </c>
      <c r="K10" s="23">
        <f>F10 * G10 * 474.635631</f>
        <v>118.65890775</v>
      </c>
      <c r="L10" s="23">
        <f>F10 * G10 * 123.676227</f>
        <v>30.919056749999999</v>
      </c>
      <c r="M10" s="23">
        <f>F10 * G10 * 99.692424</f>
        <v>24.923106000000001</v>
      </c>
      <c r="N10" s="24">
        <f>SUM(H10:M10)</f>
        <v>323.99068300000005</v>
      </c>
      <c r="O10" s="25">
        <f>IF(O3&gt;0,N10/O3/12,0)</f>
        <v>0.10799689433333336</v>
      </c>
    </row>
    <row r="11" spans="1:15" ht="27.6" x14ac:dyDescent="0.3">
      <c r="B11" s="18">
        <v>6</v>
      </c>
      <c r="C11" s="19" t="s">
        <v>37</v>
      </c>
      <c r="D11" s="20" t="s">
        <v>38</v>
      </c>
      <c r="E11" s="20" t="s">
        <v>39</v>
      </c>
      <c r="F11" s="21">
        <v>0.01</v>
      </c>
      <c r="G11" s="22">
        <v>1</v>
      </c>
      <c r="H11" s="23">
        <f>F11 * G11 * 53158.6419</f>
        <v>531.58641899999998</v>
      </c>
      <c r="I11" s="23">
        <f>F11 * G11 * 27314.749125</f>
        <v>273.14749124999997</v>
      </c>
      <c r="J11" s="23">
        <f>F11 * G11 * 0</f>
        <v>0</v>
      </c>
      <c r="K11" s="23">
        <f>F11 * G11 * 50617.6588169999</f>
        <v>506.17658816999904</v>
      </c>
      <c r="L11" s="23">
        <f>F11 * G11 * 14951.7531019999</f>
        <v>149.51753101999901</v>
      </c>
      <c r="M11" s="23">
        <f>F11 * G11 * 10631.72838</f>
        <v>106.31728380000001</v>
      </c>
      <c r="N11" s="24">
        <f>SUM(H11:M11)</f>
        <v>1566.745313239998</v>
      </c>
      <c r="O11" s="25">
        <f>IF(O3&gt;0,N11/O3/12,0)</f>
        <v>0.52224843774666596</v>
      </c>
    </row>
    <row r="12" spans="1:15" s="15" customFormat="1" ht="14.4" x14ac:dyDescent="0.3">
      <c r="B12" s="16"/>
      <c r="C12" s="17" t="s">
        <v>40</v>
      </c>
      <c r="D12" s="32" t="s">
        <v>41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27.6" x14ac:dyDescent="0.3">
      <c r="B13" s="18">
        <v>7</v>
      </c>
      <c r="C13" s="19" t="s">
        <v>42</v>
      </c>
      <c r="D13" s="20" t="s">
        <v>43</v>
      </c>
      <c r="E13" s="20" t="s">
        <v>44</v>
      </c>
      <c r="F13" s="21">
        <v>0.2</v>
      </c>
      <c r="G13" s="22">
        <v>1</v>
      </c>
      <c r="H13" s="23">
        <f>F13 * G13 * 1690.05204</f>
        <v>338.01040800000004</v>
      </c>
      <c r="I13" s="23">
        <f>F13 * G13 * 278.320088</f>
        <v>55.664017600000001</v>
      </c>
      <c r="J13" s="23">
        <f t="shared" ref="J13:J21" si="0">F13 * G13 * 0</f>
        <v>0</v>
      </c>
      <c r="K13" s="23">
        <f>F13 * G13 * 1609.267552</f>
        <v>321.8535104</v>
      </c>
      <c r="L13" s="23">
        <f>F13 * G13 * 413.101084</f>
        <v>82.620216800000009</v>
      </c>
      <c r="M13" s="23">
        <f>F13 * G13 * 338.010408</f>
        <v>67.602081600000005</v>
      </c>
      <c r="N13" s="24">
        <f t="shared" ref="N13:N21" si="1">SUM(H13:M13)</f>
        <v>865.75023440000007</v>
      </c>
      <c r="O13" s="25">
        <f>IF(O3&gt;0,N13/O3/12,0)</f>
        <v>0.28858341146666672</v>
      </c>
    </row>
    <row r="14" spans="1:15" x14ac:dyDescent="0.3">
      <c r="B14" s="18">
        <v>8</v>
      </c>
      <c r="C14" s="19" t="s">
        <v>45</v>
      </c>
      <c r="D14" s="20" t="s">
        <v>46</v>
      </c>
      <c r="E14" s="20" t="s">
        <v>47</v>
      </c>
      <c r="F14" s="21"/>
      <c r="G14" s="22">
        <v>1</v>
      </c>
      <c r="H14" s="23">
        <f>F14 * G14 * 147.097122</f>
        <v>0</v>
      </c>
      <c r="I14" s="23">
        <f>F14 * G14 * 71.566806</f>
        <v>0</v>
      </c>
      <c r="J14" s="23">
        <f t="shared" si="0"/>
        <v>0</v>
      </c>
      <c r="K14" s="23">
        <f>F14 * G14 * 140.065879</f>
        <v>0</v>
      </c>
      <c r="L14" s="23">
        <f>F14 * G14 * 40.9497439999999</f>
        <v>0</v>
      </c>
      <c r="M14" s="23">
        <f>F14 * G14 * 29.419424</f>
        <v>0</v>
      </c>
      <c r="N14" s="24">
        <f t="shared" si="1"/>
        <v>0</v>
      </c>
      <c r="O14" s="25">
        <f>IF(O3&gt;0,N14/O3/12,0)</f>
        <v>0</v>
      </c>
    </row>
    <row r="15" spans="1:15" x14ac:dyDescent="0.3">
      <c r="B15" s="18">
        <v>9</v>
      </c>
      <c r="C15" s="19" t="s">
        <v>48</v>
      </c>
      <c r="D15" s="20" t="s">
        <v>49</v>
      </c>
      <c r="E15" s="20" t="s">
        <v>50</v>
      </c>
      <c r="F15" s="21"/>
      <c r="G15" s="22">
        <v>1</v>
      </c>
      <c r="H15" s="23">
        <f>F15 * G15 * 41.53851</f>
        <v>0</v>
      </c>
      <c r="I15" s="23">
        <f>F15 * G15 * 86.865212</f>
        <v>0</v>
      </c>
      <c r="J15" s="23">
        <f t="shared" si="0"/>
        <v>0</v>
      </c>
      <c r="K15" s="23">
        <f>F15 * G15 * 39.55297</f>
        <v>0</v>
      </c>
      <c r="L15" s="23">
        <f>F15 * G15 * 18.595894</f>
        <v>0</v>
      </c>
      <c r="M15" s="23">
        <f>F15 * G15 * 8.307702</f>
        <v>0</v>
      </c>
      <c r="N15" s="24">
        <f t="shared" si="1"/>
        <v>0</v>
      </c>
      <c r="O15" s="25">
        <f>IF(O3&gt;0,N15/O3/12,0)</f>
        <v>0</v>
      </c>
    </row>
    <row r="16" spans="1:15" x14ac:dyDescent="0.3">
      <c r="B16" s="18">
        <v>10</v>
      </c>
      <c r="C16" s="19" t="s">
        <v>51</v>
      </c>
      <c r="D16" s="20" t="s">
        <v>52</v>
      </c>
      <c r="E16" s="20" t="s">
        <v>53</v>
      </c>
      <c r="F16" s="21">
        <v>2.4E-2</v>
      </c>
      <c r="G16" s="22">
        <v>1</v>
      </c>
      <c r="H16" s="23">
        <f>F16 * G16 * 12983.4471</f>
        <v>311.60273039999998</v>
      </c>
      <c r="I16" s="23">
        <f>F16 * G16 * 4037.90637</f>
        <v>96.909752879999999</v>
      </c>
      <c r="J16" s="23">
        <f t="shared" si="0"/>
        <v>0</v>
      </c>
      <c r="K16" s="23">
        <f>F16 * G16 * 12362.838329</f>
        <v>296.70811989600003</v>
      </c>
      <c r="L16" s="23">
        <f>F16 * G16 * 3373.982968</f>
        <v>80.975591231999999</v>
      </c>
      <c r="M16" s="23">
        <f>F16 * G16 * 2596.68942</f>
        <v>62.320546080000007</v>
      </c>
      <c r="N16" s="24">
        <f t="shared" si="1"/>
        <v>848.51674048799987</v>
      </c>
      <c r="O16" s="25">
        <f>IF(O3&gt;0,N16/O3/12,0)</f>
        <v>0.28283891349599993</v>
      </c>
    </row>
    <row r="17" spans="2:15" x14ac:dyDescent="0.3">
      <c r="B17" s="18">
        <v>11</v>
      </c>
      <c r="C17" s="19" t="s">
        <v>54</v>
      </c>
      <c r="D17" s="20" t="s">
        <v>55</v>
      </c>
      <c r="E17" s="20" t="s">
        <v>56</v>
      </c>
      <c r="F17" s="21">
        <v>0.1</v>
      </c>
      <c r="G17" s="22">
        <v>1</v>
      </c>
      <c r="H17" s="23">
        <f>F17 * G17 * 2769.234</f>
        <v>276.92340000000002</v>
      </c>
      <c r="I17" s="23">
        <f>F17 * G17 * 748.992</f>
        <v>74.899199999999993</v>
      </c>
      <c r="J17" s="23">
        <f t="shared" si="0"/>
        <v>0</v>
      </c>
      <c r="K17" s="23">
        <f>F17 * G17 * 2636.864615</f>
        <v>263.68646150000001</v>
      </c>
      <c r="L17" s="23">
        <f>F17 * G17 * 707.792896999999</f>
        <v>70.779289699999907</v>
      </c>
      <c r="M17" s="23">
        <f>F17 * G17 * 553.8468</f>
        <v>55.384680000000003</v>
      </c>
      <c r="N17" s="24">
        <f t="shared" si="1"/>
        <v>741.67303119999997</v>
      </c>
      <c r="O17" s="25">
        <f>IF(O3&gt;0,N17/O3/12,0)</f>
        <v>0.24722434373333332</v>
      </c>
    </row>
    <row r="18" spans="2:15" x14ac:dyDescent="0.3">
      <c r="B18" s="18">
        <v>12</v>
      </c>
      <c r="C18" s="19" t="s">
        <v>57</v>
      </c>
      <c r="D18" s="20" t="s">
        <v>58</v>
      </c>
      <c r="E18" s="20" t="s">
        <v>59</v>
      </c>
      <c r="F18" s="21"/>
      <c r="G18" s="22">
        <v>1</v>
      </c>
      <c r="H18" s="23">
        <f>F18 * G18 * 4153.851</f>
        <v>0</v>
      </c>
      <c r="I18" s="23">
        <f>F18 * G18 * 7866.72464</f>
        <v>0</v>
      </c>
      <c r="J18" s="23">
        <f t="shared" si="0"/>
        <v>0</v>
      </c>
      <c r="K18" s="23">
        <f>F18 * G18 * 3955.296922</f>
        <v>0</v>
      </c>
      <c r="L18" s="23">
        <f>F18 * G18 * 1773.100812</f>
        <v>0</v>
      </c>
      <c r="M18" s="23">
        <f>F18 * G18 * 830.7702</f>
        <v>0</v>
      </c>
      <c r="N18" s="24">
        <f t="shared" si="1"/>
        <v>0</v>
      </c>
      <c r="O18" s="25">
        <f>IF(O3&gt;0,N18/O3/12,0)</f>
        <v>0</v>
      </c>
    </row>
    <row r="19" spans="2:15" x14ac:dyDescent="0.3">
      <c r="B19" s="18">
        <v>13</v>
      </c>
      <c r="C19" s="19" t="s">
        <v>60</v>
      </c>
      <c r="D19" s="20" t="s">
        <v>61</v>
      </c>
      <c r="E19" s="20" t="s">
        <v>53</v>
      </c>
      <c r="F19" s="21"/>
      <c r="G19" s="22">
        <v>1</v>
      </c>
      <c r="H19" s="23">
        <f>F19 * G19 * 19842.6267</f>
        <v>0</v>
      </c>
      <c r="I19" s="23">
        <f>F19 * G19 * 2619.946662</f>
        <v>0</v>
      </c>
      <c r="J19" s="23">
        <f t="shared" si="0"/>
        <v>0</v>
      </c>
      <c r="K19" s="23">
        <f>F19 * G19 * 18894.149144</f>
        <v>0</v>
      </c>
      <c r="L19" s="23">
        <f>F19 * G19 * 4781.813647</f>
        <v>0</v>
      </c>
      <c r="M19" s="23">
        <f>F19 * G19 * 3968.52534</f>
        <v>0</v>
      </c>
      <c r="N19" s="24">
        <f t="shared" si="1"/>
        <v>0</v>
      </c>
      <c r="O19" s="25">
        <f>IF(O3&gt;0,N19/O3/12,0)</f>
        <v>0</v>
      </c>
    </row>
    <row r="20" spans="2:15" ht="27.6" x14ac:dyDescent="0.3">
      <c r="B20" s="18">
        <v>14</v>
      </c>
      <c r="C20" s="19" t="s">
        <v>62</v>
      </c>
      <c r="D20" s="20" t="s">
        <v>63</v>
      </c>
      <c r="E20" s="20" t="s">
        <v>64</v>
      </c>
      <c r="F20" s="21">
        <v>1</v>
      </c>
      <c r="G20" s="22">
        <v>1</v>
      </c>
      <c r="H20" s="23">
        <f>F20 * G20 * 1549.21437</f>
        <v>1549.2143699999999</v>
      </c>
      <c r="I20" s="23">
        <f>F20 * G20 * 4810.438543</f>
        <v>4810.4385430000002</v>
      </c>
      <c r="J20" s="23">
        <f t="shared" si="0"/>
        <v>0</v>
      </c>
      <c r="K20" s="23">
        <f>F20 * G20 * 1475.161924</f>
        <v>1475.161924</v>
      </c>
      <c r="L20" s="23">
        <f>F20 * G20 * 859.261389</f>
        <v>859.26138900000001</v>
      </c>
      <c r="M20" s="23">
        <f>F20 * G20 * 309.842874</f>
        <v>309.84287399999999</v>
      </c>
      <c r="N20" s="24">
        <f t="shared" si="1"/>
        <v>9003.9190999999992</v>
      </c>
      <c r="O20" s="25">
        <f>IF(O3&gt;0,N20/O3/12,0)</f>
        <v>3.0013063666666664</v>
      </c>
    </row>
    <row r="21" spans="2:15" ht="55.2" x14ac:dyDescent="0.3">
      <c r="B21" s="18">
        <v>15</v>
      </c>
      <c r="C21" s="19" t="s">
        <v>65</v>
      </c>
      <c r="D21" s="20" t="s">
        <v>66</v>
      </c>
      <c r="E21" s="20" t="s">
        <v>67</v>
      </c>
      <c r="F21" s="21"/>
      <c r="G21" s="22">
        <v>1</v>
      </c>
      <c r="H21" s="23">
        <f>F21 * G21 * 13455.708006</f>
        <v>0</v>
      </c>
      <c r="I21" s="23">
        <f>F21 * G21 * 43430.491335</f>
        <v>0</v>
      </c>
      <c r="J21" s="23">
        <f t="shared" si="0"/>
        <v>0</v>
      </c>
      <c r="K21" s="23">
        <f>F21 * G21 * 12812.525163</f>
        <v>0</v>
      </c>
      <c r="L21" s="23">
        <f>F21 * G21 * 7637.130875</f>
        <v>0</v>
      </c>
      <c r="M21" s="23">
        <f>F21 * G21 * 2691.141601</f>
        <v>0</v>
      </c>
      <c r="N21" s="24">
        <f t="shared" si="1"/>
        <v>0</v>
      </c>
      <c r="O21" s="25">
        <f>IF(O3&gt;0,N21/O3/12,0)</f>
        <v>0</v>
      </c>
    </row>
    <row r="22" spans="2:15" s="15" customFormat="1" ht="14.4" x14ac:dyDescent="0.3">
      <c r="B22" s="16"/>
      <c r="C22" s="17" t="s">
        <v>68</v>
      </c>
      <c r="D22" s="32" t="s">
        <v>69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2:15" ht="27.6" x14ac:dyDescent="0.3">
      <c r="B23" s="18">
        <v>16</v>
      </c>
      <c r="C23" s="19" t="s">
        <v>70</v>
      </c>
      <c r="D23" s="20" t="s">
        <v>71</v>
      </c>
      <c r="E23" s="20" t="s">
        <v>72</v>
      </c>
      <c r="F23" s="21">
        <v>2.8000000000000001E-2</v>
      </c>
      <c r="G23" s="22">
        <v>1</v>
      </c>
      <c r="H23" s="23">
        <f>F23 * G23 * 9993.8214</f>
        <v>279.82699920000005</v>
      </c>
      <c r="I23" s="23">
        <f>F23 * G23 * 2250.111144</f>
        <v>63.003112031999997</v>
      </c>
      <c r="J23" s="23">
        <f>F23 * G23 * 0</f>
        <v>0</v>
      </c>
      <c r="K23" s="23">
        <f>F23 * G23 * 9516.116737</f>
        <v>266.45126863600001</v>
      </c>
      <c r="L23" s="23">
        <f>F23 * G23 * 2506.554831</f>
        <v>70.183535268</v>
      </c>
      <c r="M23" s="23">
        <f>F23 * G23 * 1998.76428</f>
        <v>55.965399840000003</v>
      </c>
      <c r="N23" s="24">
        <f>SUM(H23:M23)</f>
        <v>735.43031497600009</v>
      </c>
      <c r="O23" s="25">
        <f>IF(O3&gt;0,N23/O3/12,0)</f>
        <v>0.24514343832533336</v>
      </c>
    </row>
    <row r="24" spans="2:15" x14ac:dyDescent="0.3">
      <c r="B24" s="18">
        <v>17</v>
      </c>
      <c r="C24" s="19" t="s">
        <v>73</v>
      </c>
      <c r="D24" s="20" t="s">
        <v>74</v>
      </c>
      <c r="E24" s="20" t="s">
        <v>75</v>
      </c>
      <c r="F24" s="21">
        <v>2.1999999999999999E-2</v>
      </c>
      <c r="G24" s="22">
        <v>1</v>
      </c>
      <c r="H24" s="23">
        <f>F24 * G24 * 3261.14172</f>
        <v>71.745117839999992</v>
      </c>
      <c r="I24" s="23">
        <f>F24 * G24 * 490.852973</f>
        <v>10.798765405999999</v>
      </c>
      <c r="J24" s="23">
        <f>F24 * G24 * 0</f>
        <v>0</v>
      </c>
      <c r="K24" s="23">
        <f>F24 * G24 * 3105.259146</f>
        <v>68.315701211999993</v>
      </c>
      <c r="L24" s="23">
        <f>F24 * G24 * 792.25037</f>
        <v>17.429508139999999</v>
      </c>
      <c r="M24" s="23">
        <f>F24 * G24 * 652.228344</f>
        <v>14.349023568</v>
      </c>
      <c r="N24" s="24">
        <f>SUM(H24:M24)</f>
        <v>182.63811616599997</v>
      </c>
      <c r="O24" s="25">
        <f>IF(O3&gt;0,N24/O3/12,0)</f>
        <v>6.0879372055333329E-2</v>
      </c>
    </row>
    <row r="25" spans="2:15" s="15" customFormat="1" ht="14.4" x14ac:dyDescent="0.3">
      <c r="B25" s="16"/>
      <c r="C25" s="17" t="s">
        <v>76</v>
      </c>
      <c r="D25" s="32" t="s">
        <v>77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5" ht="27.6" x14ac:dyDescent="0.3">
      <c r="B26" s="18">
        <v>18</v>
      </c>
      <c r="C26" s="19" t="s">
        <v>78</v>
      </c>
      <c r="D26" s="20" t="s">
        <v>79</v>
      </c>
      <c r="E26" s="20" t="s">
        <v>80</v>
      </c>
      <c r="F26" s="21">
        <v>0.01</v>
      </c>
      <c r="G26" s="22">
        <v>1</v>
      </c>
      <c r="H26" s="23">
        <f>F26 * G26 * 80750.86344</f>
        <v>807.50863440000001</v>
      </c>
      <c r="I26" s="23">
        <f>F26 * G26 * 2395.36534</f>
        <v>23.9536534</v>
      </c>
      <c r="J26" s="23">
        <f>F26 * G26 * 0</f>
        <v>0</v>
      </c>
      <c r="K26" s="23">
        <f>F26 * G26 * 76890.972168</f>
        <v>768.90972167999996</v>
      </c>
      <c r="L26" s="23">
        <f>F26 * G26 * 18587.767918</f>
        <v>185.87767918000003</v>
      </c>
      <c r="M26" s="23">
        <f>F26 * G26 * 16150.172688</f>
        <v>161.50172688000001</v>
      </c>
      <c r="N26" s="24">
        <f>SUM(H26:M26)</f>
        <v>1947.7514155400002</v>
      </c>
      <c r="O26" s="25">
        <f>IF(O3&gt;0,N26/O3/12,0)</f>
        <v>0.64925047184666673</v>
      </c>
    </row>
    <row r="27" spans="2:15" x14ac:dyDescent="0.3">
      <c r="B27" s="18">
        <v>19</v>
      </c>
      <c r="C27" s="19" t="s">
        <v>81</v>
      </c>
      <c r="D27" s="20" t="s">
        <v>82</v>
      </c>
      <c r="E27" s="20" t="s">
        <v>83</v>
      </c>
      <c r="F27" s="21">
        <v>0.02</v>
      </c>
      <c r="G27" s="22">
        <v>1</v>
      </c>
      <c r="H27" s="23">
        <f>F27 * G27 * 16274.5752</f>
        <v>325.49150400000002</v>
      </c>
      <c r="I27" s="23">
        <f>F27 * G27 * 55792.89694</f>
        <v>1115.8579388000001</v>
      </c>
      <c r="J27" s="23">
        <f>F27 * G27 * 0</f>
        <v>0</v>
      </c>
      <c r="K27" s="23">
        <f>F27 * G27 * 15496.650505</f>
        <v>309.93301009999999</v>
      </c>
      <c r="L27" s="23">
        <f>F27 * G27 * 9581.408475</f>
        <v>191.62816950000001</v>
      </c>
      <c r="M27" s="23">
        <f>F27 * G27 * 3254.91504</f>
        <v>65.098300800000004</v>
      </c>
      <c r="N27" s="24">
        <f>SUM(H27:M27)</f>
        <v>2008.0089232000003</v>
      </c>
      <c r="O27" s="25">
        <f>IF(O3&gt;0,N27/O3/12,0)</f>
        <v>0.66933630773333341</v>
      </c>
    </row>
    <row r="28" spans="2:15" s="15" customFormat="1" ht="14.4" x14ac:dyDescent="0.3">
      <c r="B28" s="16"/>
      <c r="C28" s="17" t="s">
        <v>84</v>
      </c>
      <c r="D28" s="32" t="s">
        <v>85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2:15" ht="41.4" x14ac:dyDescent="0.3">
      <c r="B29" s="18">
        <v>20</v>
      </c>
      <c r="C29" s="19" t="s">
        <v>86</v>
      </c>
      <c r="D29" s="20" t="s">
        <v>87</v>
      </c>
      <c r="E29" s="20" t="s">
        <v>88</v>
      </c>
      <c r="F29" s="21">
        <v>0.05</v>
      </c>
      <c r="G29" s="22">
        <v>1</v>
      </c>
      <c r="H29" s="23">
        <f>F29 * G29 * 19525.14795</f>
        <v>976.25739750000002</v>
      </c>
      <c r="I29" s="23">
        <f>F29 * G29 * 57627.060537</f>
        <v>2881.3530268499999</v>
      </c>
      <c r="J29" s="23">
        <f>F29 * G29 * 0</f>
        <v>0</v>
      </c>
      <c r="K29" s="23">
        <f>F29 * G29 * 18591.845878</f>
        <v>929.59229390000007</v>
      </c>
      <c r="L29" s="23">
        <f>F29 * G29 * 10512.978357</f>
        <v>525.64891784999998</v>
      </c>
      <c r="M29" s="23">
        <f>F29 * G29 * 3905.02959</f>
        <v>195.25147950000002</v>
      </c>
      <c r="N29" s="24">
        <f>SUM(H29:M29)</f>
        <v>5508.103115599999</v>
      </c>
      <c r="O29" s="25">
        <f>IF(O3&gt;0,N29/O3/12,0)</f>
        <v>1.8360343718666663</v>
      </c>
    </row>
    <row r="30" spans="2:15" ht="27.6" x14ac:dyDescent="0.3">
      <c r="B30" s="18">
        <v>21</v>
      </c>
      <c r="C30" s="19" t="s">
        <v>89</v>
      </c>
      <c r="D30" s="20" t="s">
        <v>90</v>
      </c>
      <c r="E30" s="20" t="s">
        <v>91</v>
      </c>
      <c r="F30" s="21">
        <v>0.08</v>
      </c>
      <c r="G30" s="22">
        <v>4</v>
      </c>
      <c r="H30" s="23">
        <f>F30 * G30 * 2796.92634</f>
        <v>895.01642879999997</v>
      </c>
      <c r="I30" s="23">
        <f>F30 * G30 * 1041.05799</f>
        <v>333.1385568</v>
      </c>
      <c r="J30" s="23">
        <f>F30 * G30 * 0</f>
        <v>0</v>
      </c>
      <c r="K30" s="23">
        <f>F30 * G30 * 2663.233261</f>
        <v>852.23464351999996</v>
      </c>
      <c r="L30" s="23">
        <f>F30 * G30 * 744.893601</f>
        <v>238.36595231999999</v>
      </c>
      <c r="M30" s="23">
        <f>F30 * G30 * 559.385268</f>
        <v>179.00328576000001</v>
      </c>
      <c r="N30" s="24">
        <f>SUM(H30:M30)</f>
        <v>2497.7588671999997</v>
      </c>
      <c r="O30" s="25">
        <f>IF(O3&gt;0,N30/O3/12,0)</f>
        <v>0.83258628906666654</v>
      </c>
    </row>
    <row r="31" spans="2:15" s="15" customFormat="1" ht="14.4" x14ac:dyDescent="0.3">
      <c r="B31" s="16"/>
      <c r="C31" s="17" t="s">
        <v>92</v>
      </c>
      <c r="D31" s="32" t="s">
        <v>93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2:15" x14ac:dyDescent="0.3">
      <c r="B32" s="18">
        <v>22</v>
      </c>
      <c r="C32" s="19" t="s">
        <v>94</v>
      </c>
      <c r="D32" s="20" t="s">
        <v>95</v>
      </c>
      <c r="E32" s="20" t="s">
        <v>96</v>
      </c>
      <c r="F32" s="21">
        <v>1</v>
      </c>
      <c r="G32" s="22">
        <v>1</v>
      </c>
      <c r="H32" s="23">
        <f>F32 * G32 * 22.153872</f>
        <v>22.153872</v>
      </c>
      <c r="I32" s="23">
        <f>F32 * G32 * 2144.09864</f>
        <v>2144.0986400000002</v>
      </c>
      <c r="J32" s="23">
        <f>F32 * G32 * 0</f>
        <v>0</v>
      </c>
      <c r="K32" s="23">
        <f>F32 * G32 * 21.094917</f>
        <v>21.094916999999999</v>
      </c>
      <c r="L32" s="23">
        <f>F32 * G32 * 231.2326</f>
        <v>231.23259999999999</v>
      </c>
      <c r="M32" s="23">
        <f>F32 * G32 * 4.430774</f>
        <v>4.4307740000000004</v>
      </c>
      <c r="N32" s="24">
        <f>SUM(H32:M32)</f>
        <v>2423.0108029999997</v>
      </c>
      <c r="O32" s="25">
        <f>IF(O3&gt;0,N32/O3/12,0)</f>
        <v>0.8076702676666665</v>
      </c>
    </row>
    <row r="33" spans="2:15" x14ac:dyDescent="0.3">
      <c r="B33" s="18">
        <v>23</v>
      </c>
      <c r="C33" s="19" t="s">
        <v>97</v>
      </c>
      <c r="D33" s="20" t="s">
        <v>98</v>
      </c>
      <c r="E33" s="20" t="s">
        <v>99</v>
      </c>
      <c r="F33" s="21">
        <v>2</v>
      </c>
      <c r="G33" s="22">
        <v>1</v>
      </c>
      <c r="H33" s="23">
        <f>F33 * G33 * 378.696846</f>
        <v>757.39369199999999</v>
      </c>
      <c r="I33" s="23">
        <f>F33 * G33 * 27.398681</f>
        <v>54.797362</v>
      </c>
      <c r="J33" s="23">
        <f>F33 * G33 * 0</f>
        <v>0</v>
      </c>
      <c r="K33" s="23">
        <f>F33 * G33 * 360.595137</f>
        <v>721.19027400000004</v>
      </c>
      <c r="L33" s="23">
        <f>F33 * G33 * 88.876368</f>
        <v>177.752736</v>
      </c>
      <c r="M33" s="23">
        <f>F33 * G33 * 75.739369</f>
        <v>151.47873799999999</v>
      </c>
      <c r="N33" s="24">
        <f>SUM(H33:M33)</f>
        <v>1862.6128019999999</v>
      </c>
      <c r="O33" s="25">
        <f>IF(O3&gt;0,N33/O3/12,0)</f>
        <v>0.62087093399999993</v>
      </c>
    </row>
    <row r="34" spans="2:15" x14ac:dyDescent="0.3">
      <c r="B34" s="18">
        <v>24</v>
      </c>
      <c r="C34" s="19" t="s">
        <v>100</v>
      </c>
      <c r="D34" s="20" t="s">
        <v>101</v>
      </c>
      <c r="E34" s="20" t="s">
        <v>102</v>
      </c>
      <c r="F34" s="21">
        <v>1</v>
      </c>
      <c r="G34" s="22">
        <v>1</v>
      </c>
      <c r="H34" s="23">
        <f>F34 * G34 * 52.615446</f>
        <v>52.615445999999999</v>
      </c>
      <c r="I34" s="23">
        <f>F34 * G34 * 62.20356</f>
        <v>62.203560000000003</v>
      </c>
      <c r="J34" s="23">
        <f>F34 * G34 * 0</f>
        <v>0</v>
      </c>
      <c r="K34" s="23">
        <f>F34 * G34 * 50.100428</f>
        <v>50.100428000000001</v>
      </c>
      <c r="L34" s="23">
        <f>F34 * G34 * 18.509187</f>
        <v>18.509187000000001</v>
      </c>
      <c r="M34" s="23">
        <f>F34 * G34 * 10.523089</f>
        <v>10.523089000000001</v>
      </c>
      <c r="N34" s="24">
        <f>SUM(H34:M34)</f>
        <v>193.95170999999999</v>
      </c>
      <c r="O34" s="25">
        <f>IF(O3&gt;0,N34/O3/12,0)</f>
        <v>6.4650570000000004E-2</v>
      </c>
    </row>
    <row r="35" spans="2:15" x14ac:dyDescent="0.3">
      <c r="B35" s="18">
        <v>25</v>
      </c>
      <c r="C35" s="19" t="s">
        <v>103</v>
      </c>
      <c r="D35" s="20" t="s">
        <v>104</v>
      </c>
      <c r="E35" s="20" t="s">
        <v>22</v>
      </c>
      <c r="F35" s="21">
        <v>0.01</v>
      </c>
      <c r="G35" s="22">
        <v>1</v>
      </c>
      <c r="H35" s="23">
        <f>F35 * G35 * 7108.2468</f>
        <v>71.082468000000006</v>
      </c>
      <c r="I35" s="23">
        <f>F35 * G35 * 1857.4024</f>
        <v>18.574024000000001</v>
      </c>
      <c r="J35" s="23">
        <f>F35 * G35 * 0</f>
        <v>0</v>
      </c>
      <c r="K35" s="23">
        <f>F35 * G35 * 6768.472603</f>
        <v>67.684726030000007</v>
      </c>
      <c r="L35" s="23">
        <f>F35 * G35 * 1809.93385799999</f>
        <v>18.099338579999902</v>
      </c>
      <c r="M35" s="23">
        <f>F35 * G35 * 1421.64936</f>
        <v>14.2164936</v>
      </c>
      <c r="N35" s="24">
        <f>SUM(H35:M35)</f>
        <v>189.65705020999994</v>
      </c>
      <c r="O35" s="25">
        <f>IF(O3&gt;0,N35/O3/12,0)</f>
        <v>6.3219016736666647E-2</v>
      </c>
    </row>
    <row r="36" spans="2:15" s="15" customFormat="1" ht="14.4" x14ac:dyDescent="0.3">
      <c r="B36" s="16"/>
      <c r="C36" s="17" t="s">
        <v>105</v>
      </c>
      <c r="D36" s="32" t="s">
        <v>106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2:15" ht="27.6" x14ac:dyDescent="0.3">
      <c r="B37" s="18">
        <v>26</v>
      </c>
      <c r="C37" s="19" t="s">
        <v>107</v>
      </c>
      <c r="D37" s="20" t="s">
        <v>108</v>
      </c>
      <c r="E37" s="20" t="s">
        <v>109</v>
      </c>
      <c r="F37" s="21">
        <v>0.25</v>
      </c>
      <c r="G37" s="22">
        <v>2</v>
      </c>
      <c r="H37" s="23">
        <f>F37 * G37 * 108.000126</f>
        <v>54.000062999999997</v>
      </c>
      <c r="I37" s="23">
        <f t="shared" ref="I37:I48" si="2">F37 * G37 * 0</f>
        <v>0</v>
      </c>
      <c r="J37" s="23">
        <f t="shared" ref="J37:J48" si="3">F37 * G37 * 0</f>
        <v>0</v>
      </c>
      <c r="K37" s="23">
        <f>F37 * G37 * 102.837719999999</f>
        <v>51.418859999999498</v>
      </c>
      <c r="L37" s="23">
        <f>F37 * G37 * 24.522195</f>
        <v>12.2610975</v>
      </c>
      <c r="M37" s="23">
        <f>F37 * G37 * 21.600025</f>
        <v>10.800012499999999</v>
      </c>
      <c r="N37" s="24">
        <f t="shared" ref="N37:N48" si="4">SUM(H37:M37)</f>
        <v>128.48003299999951</v>
      </c>
      <c r="O37" s="25">
        <f>IF(O3&gt;0,N37/O3/12,0)</f>
        <v>4.2826677666666507E-2</v>
      </c>
    </row>
    <row r="38" spans="2:15" ht="27.6" x14ac:dyDescent="0.3">
      <c r="B38" s="18">
        <v>27</v>
      </c>
      <c r="C38" s="19" t="s">
        <v>110</v>
      </c>
      <c r="D38" s="20" t="s">
        <v>111</v>
      </c>
      <c r="E38" s="20" t="s">
        <v>109</v>
      </c>
      <c r="F38" s="21">
        <v>0.25</v>
      </c>
      <c r="G38" s="22">
        <v>2</v>
      </c>
      <c r="H38" s="23">
        <f>F38 * G38 * 861.231774</f>
        <v>430.61588699999999</v>
      </c>
      <c r="I38" s="23">
        <f t="shared" si="2"/>
        <v>0</v>
      </c>
      <c r="J38" s="23">
        <f t="shared" si="3"/>
        <v>0</v>
      </c>
      <c r="K38" s="23">
        <f>F38 * G38 * 820.064895</f>
        <v>410.03244749999999</v>
      </c>
      <c r="L38" s="23">
        <f>F38 * G38 * 195.548789</f>
        <v>97.7743945</v>
      </c>
      <c r="M38" s="23">
        <f>F38 * G38 * 172.246355</f>
        <v>86.123177499999997</v>
      </c>
      <c r="N38" s="24">
        <f t="shared" si="4"/>
        <v>1024.5459065</v>
      </c>
      <c r="O38" s="25">
        <f>IF(O3&gt;0,N38/O3/12,0)</f>
        <v>0.34151530216666665</v>
      </c>
    </row>
    <row r="39" spans="2:15" ht="27.6" x14ac:dyDescent="0.3">
      <c r="B39" s="18">
        <v>28</v>
      </c>
      <c r="C39" s="19" t="s">
        <v>112</v>
      </c>
      <c r="D39" s="20" t="s">
        <v>113</v>
      </c>
      <c r="E39" s="20" t="s">
        <v>109</v>
      </c>
      <c r="F39" s="21">
        <v>0.25</v>
      </c>
      <c r="G39" s="22">
        <v>2</v>
      </c>
      <c r="H39" s="23">
        <f>F39 * G39 * 782.4315</f>
        <v>391.21575000000001</v>
      </c>
      <c r="I39" s="23">
        <f t="shared" si="2"/>
        <v>0</v>
      </c>
      <c r="J39" s="23">
        <f t="shared" si="3"/>
        <v>0</v>
      </c>
      <c r="K39" s="23">
        <f>F39 * G39 * 745.031273999999</f>
        <v>372.51563699999951</v>
      </c>
      <c r="L39" s="23">
        <f>F39 * G39 * 177.656627</f>
        <v>88.828313499999993</v>
      </c>
      <c r="M39" s="23">
        <f>F39 * G39 * 156.4863</f>
        <v>78.24315</v>
      </c>
      <c r="N39" s="24">
        <f t="shared" si="4"/>
        <v>930.80285049999964</v>
      </c>
      <c r="O39" s="25">
        <f>IF(O3&gt;0,N39/O3/12,0)</f>
        <v>0.3102676168333332</v>
      </c>
    </row>
    <row r="40" spans="2:15" x14ac:dyDescent="0.3">
      <c r="B40" s="18">
        <v>29</v>
      </c>
      <c r="C40" s="19" t="s">
        <v>114</v>
      </c>
      <c r="D40" s="20" t="s">
        <v>115</v>
      </c>
      <c r="E40" s="20" t="s">
        <v>116</v>
      </c>
      <c r="F40" s="21"/>
      <c r="G40" s="22">
        <v>2</v>
      </c>
      <c r="H40" s="23">
        <f>F40 * G40 * 350.529312</f>
        <v>0</v>
      </c>
      <c r="I40" s="23">
        <f t="shared" si="2"/>
        <v>0</v>
      </c>
      <c r="J40" s="23">
        <f t="shared" si="3"/>
        <v>0</v>
      </c>
      <c r="K40" s="23">
        <f>F40 * G40 * 333.774011</f>
        <v>0</v>
      </c>
      <c r="L40" s="23">
        <f>F40 * G40 * 79.590169</f>
        <v>0</v>
      </c>
      <c r="M40" s="23">
        <f>F40 * G40 * 70.105862</f>
        <v>0</v>
      </c>
      <c r="N40" s="24">
        <f t="shared" si="4"/>
        <v>0</v>
      </c>
      <c r="O40" s="25">
        <f>IF(O3&gt;0,N40/O3/12,0)</f>
        <v>0</v>
      </c>
    </row>
    <row r="41" spans="2:15" ht="27.6" x14ac:dyDescent="0.3">
      <c r="B41" s="18">
        <v>30</v>
      </c>
      <c r="C41" s="19" t="s">
        <v>117</v>
      </c>
      <c r="D41" s="20" t="s">
        <v>118</v>
      </c>
      <c r="E41" s="20" t="s">
        <v>109</v>
      </c>
      <c r="F41" s="21">
        <v>0.25</v>
      </c>
      <c r="G41" s="22">
        <v>2</v>
      </c>
      <c r="H41" s="23">
        <f>F41 * G41 * 1251.8904</f>
        <v>625.9452</v>
      </c>
      <c r="I41" s="23">
        <f t="shared" si="2"/>
        <v>0</v>
      </c>
      <c r="J41" s="23">
        <f t="shared" si="3"/>
        <v>0</v>
      </c>
      <c r="K41" s="23">
        <f>F41 * G41 * 1192.050039</f>
        <v>596.02501949999998</v>
      </c>
      <c r="L41" s="23">
        <f>F41 * G41 * 284.250604</f>
        <v>142.125302</v>
      </c>
      <c r="M41" s="23">
        <f>F41 * G41 * 250.37808</f>
        <v>125.18904000000001</v>
      </c>
      <c r="N41" s="24">
        <f t="shared" si="4"/>
        <v>1489.2845614999999</v>
      </c>
      <c r="O41" s="25">
        <f>IF(O3&gt;0,N41/O3/12,0)</f>
        <v>0.49642818716666665</v>
      </c>
    </row>
    <row r="42" spans="2:15" ht="27.6" x14ac:dyDescent="0.3">
      <c r="B42" s="18">
        <v>31</v>
      </c>
      <c r="C42" s="19" t="s">
        <v>119</v>
      </c>
      <c r="D42" s="20" t="s">
        <v>120</v>
      </c>
      <c r="E42" s="20" t="s">
        <v>121</v>
      </c>
      <c r="F42" s="21">
        <v>0.40799999999999997</v>
      </c>
      <c r="G42" s="22">
        <v>1</v>
      </c>
      <c r="H42" s="23">
        <f>F42 * G42 * 813.72876</f>
        <v>332.00133407999999</v>
      </c>
      <c r="I42" s="23">
        <f t="shared" si="2"/>
        <v>0</v>
      </c>
      <c r="J42" s="23">
        <f t="shared" si="3"/>
        <v>0</v>
      </c>
      <c r="K42" s="23">
        <f>F42 * G42 * 774.832524999999</f>
        <v>316.13167019999958</v>
      </c>
      <c r="L42" s="23">
        <f>F42 * G42 * 184.762892</f>
        <v>75.383259935999988</v>
      </c>
      <c r="M42" s="23">
        <f>F42 * G42 * 162.745752</f>
        <v>66.400266815999998</v>
      </c>
      <c r="N42" s="24">
        <f t="shared" si="4"/>
        <v>789.91653103199951</v>
      </c>
      <c r="O42" s="25">
        <f>IF(O3&gt;0,N42/O3/12,0)</f>
        <v>0.26330551034399985</v>
      </c>
    </row>
    <row r="43" spans="2:15" ht="27.6" x14ac:dyDescent="0.3">
      <c r="B43" s="18">
        <v>32</v>
      </c>
      <c r="C43" s="19" t="s">
        <v>122</v>
      </c>
      <c r="D43" s="20" t="s">
        <v>123</v>
      </c>
      <c r="E43" s="20" t="s">
        <v>109</v>
      </c>
      <c r="F43" s="21">
        <v>0.25</v>
      </c>
      <c r="G43" s="22">
        <v>3</v>
      </c>
      <c r="H43" s="23">
        <f>F43 * G43 * 1163.07828</f>
        <v>872.30871000000002</v>
      </c>
      <c r="I43" s="23">
        <f t="shared" si="2"/>
        <v>0</v>
      </c>
      <c r="J43" s="23">
        <f t="shared" si="3"/>
        <v>0</v>
      </c>
      <c r="K43" s="23">
        <f>F43 * G43 * 1107.483138</f>
        <v>830.61235350000004</v>
      </c>
      <c r="L43" s="23">
        <f>F43 * G43 * 264.085181</f>
        <v>198.06388575</v>
      </c>
      <c r="M43" s="23">
        <f>F43 * G43 * 232.615656</f>
        <v>174.46174200000002</v>
      </c>
      <c r="N43" s="24">
        <f t="shared" si="4"/>
        <v>2075.4466912500002</v>
      </c>
      <c r="O43" s="25">
        <f>IF(O3&gt;0,N43/O3/12,0)</f>
        <v>0.69181556375000008</v>
      </c>
    </row>
    <row r="44" spans="2:15" ht="27.6" x14ac:dyDescent="0.3">
      <c r="B44" s="18">
        <v>33</v>
      </c>
      <c r="C44" s="19" t="s">
        <v>124</v>
      </c>
      <c r="D44" s="20" t="s">
        <v>125</v>
      </c>
      <c r="E44" s="20" t="s">
        <v>109</v>
      </c>
      <c r="F44" s="21">
        <v>0.25</v>
      </c>
      <c r="G44" s="22">
        <v>2</v>
      </c>
      <c r="H44" s="23">
        <f>F44 * G44 * 3129.726</f>
        <v>1564.8630000000001</v>
      </c>
      <c r="I44" s="23">
        <f t="shared" si="2"/>
        <v>0</v>
      </c>
      <c r="J44" s="23">
        <f t="shared" si="3"/>
        <v>0</v>
      </c>
      <c r="K44" s="23">
        <f>F44 * G44 * 2980.125097</f>
        <v>1490.0625485</v>
      </c>
      <c r="L44" s="23">
        <f>F44 * G44 * 710.626509</f>
        <v>355.31325450000003</v>
      </c>
      <c r="M44" s="23">
        <f>F44 * G44 * 625.9452</f>
        <v>312.9726</v>
      </c>
      <c r="N44" s="24">
        <f t="shared" si="4"/>
        <v>3723.2114030000002</v>
      </c>
      <c r="O44" s="25">
        <f>IF(O3&gt;0,N44/O3/12,0)</f>
        <v>1.2410704676666666</v>
      </c>
    </row>
    <row r="45" spans="2:15" ht="41.4" x14ac:dyDescent="0.3">
      <c r="B45" s="18">
        <v>34</v>
      </c>
      <c r="C45" s="19" t="s">
        <v>126</v>
      </c>
      <c r="D45" s="20" t="s">
        <v>127</v>
      </c>
      <c r="E45" s="20" t="s">
        <v>128</v>
      </c>
      <c r="F45" s="21">
        <v>0.25</v>
      </c>
      <c r="G45" s="22">
        <v>2</v>
      </c>
      <c r="H45" s="23">
        <f>F45 * G45 * 1251.8904</f>
        <v>625.9452</v>
      </c>
      <c r="I45" s="23">
        <f t="shared" si="2"/>
        <v>0</v>
      </c>
      <c r="J45" s="23">
        <f t="shared" si="3"/>
        <v>0</v>
      </c>
      <c r="K45" s="23">
        <f>F45 * G45 * 1192.050039</f>
        <v>596.02501949999998</v>
      </c>
      <c r="L45" s="23">
        <f>F45 * G45 * 284.250604</f>
        <v>142.125302</v>
      </c>
      <c r="M45" s="23">
        <f>F45 * G45 * 250.37808</f>
        <v>125.18904000000001</v>
      </c>
      <c r="N45" s="24">
        <f t="shared" si="4"/>
        <v>1489.2845614999999</v>
      </c>
      <c r="O45" s="25">
        <f>IF(O3&gt;0,N45/O3/12,0)</f>
        <v>0.49642818716666665</v>
      </c>
    </row>
    <row r="46" spans="2:15" ht="27.6" x14ac:dyDescent="0.3">
      <c r="B46" s="18">
        <v>35</v>
      </c>
      <c r="C46" s="19" t="s">
        <v>129</v>
      </c>
      <c r="D46" s="20" t="s">
        <v>130</v>
      </c>
      <c r="E46" s="20" t="s">
        <v>131</v>
      </c>
      <c r="F46" s="21">
        <v>0.02</v>
      </c>
      <c r="G46" s="22">
        <v>1</v>
      </c>
      <c r="H46" s="23">
        <f>F46 * G46 * 33.230808</f>
        <v>0.66461616000000012</v>
      </c>
      <c r="I46" s="23">
        <f t="shared" si="2"/>
        <v>0</v>
      </c>
      <c r="J46" s="23">
        <f t="shared" si="3"/>
        <v>0</v>
      </c>
      <c r="K46" s="23">
        <f>F46 * G46 * 31.642375</f>
        <v>0.63284750000000001</v>
      </c>
      <c r="L46" s="23">
        <f>F46 * G46 * 7.545291</f>
        <v>0.15090582</v>
      </c>
      <c r="M46" s="23">
        <f>F46 * G46 * 6.646162</f>
        <v>0.13292324</v>
      </c>
      <c r="N46" s="24">
        <f t="shared" si="4"/>
        <v>1.58129272</v>
      </c>
      <c r="O46" s="25">
        <f>IF(O3&gt;0,N46/O3/12,0)</f>
        <v>5.2709757333333331E-4</v>
      </c>
    </row>
    <row r="47" spans="2:15" ht="27.6" x14ac:dyDescent="0.3">
      <c r="B47" s="18">
        <v>36</v>
      </c>
      <c r="C47" s="19" t="s">
        <v>132</v>
      </c>
      <c r="D47" s="20" t="s">
        <v>133</v>
      </c>
      <c r="E47" s="20" t="s">
        <v>134</v>
      </c>
      <c r="F47" s="21">
        <v>0.02</v>
      </c>
      <c r="G47" s="22">
        <v>1</v>
      </c>
      <c r="H47" s="23">
        <f>F47 * G47 * 15507.7104</f>
        <v>310.15420799999998</v>
      </c>
      <c r="I47" s="23">
        <f t="shared" si="2"/>
        <v>0</v>
      </c>
      <c r="J47" s="23">
        <f t="shared" si="3"/>
        <v>0</v>
      </c>
      <c r="K47" s="23">
        <f>F47 * G47 * 14766.441843</f>
        <v>295.32883686000002</v>
      </c>
      <c r="L47" s="23">
        <f>F47 * G47 * 3521.135751</f>
        <v>70.422715019999998</v>
      </c>
      <c r="M47" s="23">
        <f>F47 * G47 * 3101.54208</f>
        <v>62.030841600000002</v>
      </c>
      <c r="N47" s="24">
        <f t="shared" si="4"/>
        <v>737.93660148000004</v>
      </c>
      <c r="O47" s="25">
        <f>IF(O3&gt;0,N47/O3/12,0)</f>
        <v>0.24597886716000003</v>
      </c>
    </row>
    <row r="48" spans="2:15" ht="27.6" x14ac:dyDescent="0.3">
      <c r="B48" s="18">
        <v>37</v>
      </c>
      <c r="C48" s="19" t="s">
        <v>135</v>
      </c>
      <c r="D48" s="20" t="s">
        <v>136</v>
      </c>
      <c r="E48" s="20" t="s">
        <v>137</v>
      </c>
      <c r="F48" s="21">
        <v>0.01</v>
      </c>
      <c r="G48" s="22">
        <v>1</v>
      </c>
      <c r="H48" s="23">
        <f>F48 * G48 * 5261.5446</f>
        <v>52.615446000000006</v>
      </c>
      <c r="I48" s="23">
        <f t="shared" si="2"/>
        <v>0</v>
      </c>
      <c r="J48" s="23">
        <f t="shared" si="3"/>
        <v>0</v>
      </c>
      <c r="K48" s="23">
        <f>F48 * G48 * 5010.042768</f>
        <v>50.100427680000003</v>
      </c>
      <c r="L48" s="23">
        <f>F48 * G48 * 1194.671058</f>
        <v>11.94671058</v>
      </c>
      <c r="M48" s="23">
        <f>F48 * G48 * 1052.30892</f>
        <v>10.523089199999999</v>
      </c>
      <c r="N48" s="24">
        <f t="shared" si="4"/>
        <v>125.18567346000002</v>
      </c>
      <c r="O48" s="25">
        <f>IF(O3&gt;0,N48/O3/12,0)</f>
        <v>4.1728557820000005E-2</v>
      </c>
    </row>
    <row r="49" spans="2:15" s="15" customFormat="1" ht="14.4" x14ac:dyDescent="0.3">
      <c r="B49" s="16"/>
      <c r="C49" s="17" t="s">
        <v>138</v>
      </c>
      <c r="D49" s="32" t="s">
        <v>139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2:15" ht="82.8" x14ac:dyDescent="0.3">
      <c r="B50" s="18">
        <v>38</v>
      </c>
      <c r="C50" s="19" t="s">
        <v>140</v>
      </c>
      <c r="D50" s="20" t="s">
        <v>141</v>
      </c>
      <c r="E50" s="20" t="s">
        <v>142</v>
      </c>
      <c r="F50" s="21">
        <v>0.25</v>
      </c>
      <c r="G50" s="22">
        <v>3</v>
      </c>
      <c r="H50" s="23">
        <f>F50 * G50 * 3014.401332</f>
        <v>2260.800999</v>
      </c>
      <c r="I50" s="23">
        <f>F50 * G50 * 0</f>
        <v>0</v>
      </c>
      <c r="J50" s="23">
        <f>F50 * G50 * 0</f>
        <v>0</v>
      </c>
      <c r="K50" s="23">
        <f>F50 * G50 * 2870.312949</f>
        <v>2152.7347117500003</v>
      </c>
      <c r="L50" s="23">
        <f>F50 * G50 * 684.441225</f>
        <v>513.33091875000002</v>
      </c>
      <c r="M50" s="23">
        <f>F50 * G50 * 602.880266</f>
        <v>452.16019949999998</v>
      </c>
      <c r="N50" s="24">
        <f>SUM(H50:M50)</f>
        <v>5379.0268290000004</v>
      </c>
      <c r="O50" s="25">
        <f>IF(O3&gt;0,N50/O3/12,0)</f>
        <v>1.7930089430000002</v>
      </c>
    </row>
    <row r="51" spans="2:15" s="15" customFormat="1" ht="14.4" x14ac:dyDescent="0.3">
      <c r="B51" s="16"/>
      <c r="C51" s="17" t="s">
        <v>143</v>
      </c>
      <c r="D51" s="32" t="s">
        <v>144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2:15" ht="41.4" x14ac:dyDescent="0.3">
      <c r="B52" s="18">
        <v>39</v>
      </c>
      <c r="C52" s="19" t="s">
        <v>145</v>
      </c>
      <c r="D52" s="20" t="s">
        <v>146</v>
      </c>
      <c r="E52" s="20" t="s">
        <v>147</v>
      </c>
      <c r="F52" s="21">
        <v>0.28399999999999997</v>
      </c>
      <c r="G52" s="22">
        <v>96</v>
      </c>
      <c r="H52" s="23">
        <f>F52 * G52 * 209.396694</f>
        <v>5708.9914652159987</v>
      </c>
      <c r="I52" s="23">
        <f>F52 * G52 * 2.96946</f>
        <v>80.959357439999991</v>
      </c>
      <c r="J52" s="23">
        <f t="shared" ref="J52:J60" si="5">F52 * G52 * 0</f>
        <v>0</v>
      </c>
      <c r="K52" s="23">
        <f>F52 * G52 * 199.387532</f>
        <v>5436.1016724479987</v>
      </c>
      <c r="L52" s="23">
        <f>F52 * G52 * 47.858284</f>
        <v>1304.8082549759997</v>
      </c>
      <c r="M52" s="23">
        <f>F52 * G52 * 41.879339</f>
        <v>1141.7982984959999</v>
      </c>
      <c r="N52" s="24">
        <f t="shared" ref="N52:N60" si="6">SUM(H52:M52)</f>
        <v>13672.659048575997</v>
      </c>
      <c r="O52" s="25">
        <f>IF(O3&gt;0,N52/O3/12,0)</f>
        <v>4.5575530161919993</v>
      </c>
    </row>
    <row r="53" spans="2:15" ht="27.6" x14ac:dyDescent="0.3">
      <c r="B53" s="18">
        <v>40</v>
      </c>
      <c r="C53" s="19" t="s">
        <v>148</v>
      </c>
      <c r="D53" s="20" t="s">
        <v>149</v>
      </c>
      <c r="E53" s="20" t="s">
        <v>150</v>
      </c>
      <c r="F53" s="21">
        <v>0.28399999999999997</v>
      </c>
      <c r="G53" s="22">
        <v>24</v>
      </c>
      <c r="H53" s="23">
        <f>F53 * G53 * 479.2905</f>
        <v>3266.8440479999995</v>
      </c>
      <c r="I53" s="23">
        <f>F53 * G53 * 77.7709</f>
        <v>530.08645439999987</v>
      </c>
      <c r="J53" s="23">
        <f t="shared" si="5"/>
        <v>0</v>
      </c>
      <c r="K53" s="23">
        <f>F53 * G53 * 456.380414</f>
        <v>3110.6889018239995</v>
      </c>
      <c r="L53" s="23">
        <f>F53 * G53 * 117.031140999999</f>
        <v>797.68425705599304</v>
      </c>
      <c r="M53" s="23">
        <f>F53 * G53 * 95.8581</f>
        <v>653.36880959999985</v>
      </c>
      <c r="N53" s="24">
        <f t="shared" si="6"/>
        <v>8358.672470879992</v>
      </c>
      <c r="O53" s="25">
        <f>IF(O3&gt;0,N53/O3/12,0)</f>
        <v>2.7862241569599973</v>
      </c>
    </row>
    <row r="54" spans="2:15" ht="27.6" x14ac:dyDescent="0.3">
      <c r="B54" s="18">
        <v>41</v>
      </c>
      <c r="C54" s="19" t="s">
        <v>151</v>
      </c>
      <c r="D54" s="20" t="s">
        <v>152</v>
      </c>
      <c r="E54" s="20" t="s">
        <v>153</v>
      </c>
      <c r="F54" s="21">
        <v>1.04</v>
      </c>
      <c r="G54" s="22">
        <v>2</v>
      </c>
      <c r="H54" s="23">
        <f>F54 * G54 * 486.320094</f>
        <v>1011.54579552</v>
      </c>
      <c r="I54" s="23">
        <f>F54 * G54 * 64.853655</f>
        <v>134.8956024</v>
      </c>
      <c r="J54" s="23">
        <f t="shared" si="5"/>
        <v>0</v>
      </c>
      <c r="K54" s="23">
        <f>F54 * G54 * 463.073993</f>
        <v>963.19390543999998</v>
      </c>
      <c r="L54" s="23">
        <f>F54 * G54 * 117.264490999999</f>
        <v>243.91014127999793</v>
      </c>
      <c r="M54" s="23">
        <f>F54 * G54 * 97.264019</f>
        <v>202.30915952000001</v>
      </c>
      <c r="N54" s="24">
        <f t="shared" si="6"/>
        <v>2555.8546041599975</v>
      </c>
      <c r="O54" s="25">
        <f>IF(O3&gt;0,N54/O3/12,0)</f>
        <v>0.85195153471999918</v>
      </c>
    </row>
    <row r="55" spans="2:15" ht="27.6" x14ac:dyDescent="0.3">
      <c r="B55" s="18">
        <v>42</v>
      </c>
      <c r="C55" s="19" t="s">
        <v>154</v>
      </c>
      <c r="D55" s="20" t="s">
        <v>155</v>
      </c>
      <c r="E55" s="20" t="s">
        <v>156</v>
      </c>
      <c r="F55" s="21">
        <v>3.3000000000000002E-2</v>
      </c>
      <c r="G55" s="22">
        <v>2</v>
      </c>
      <c r="H55" s="23">
        <f>F55 * G55 * 465.018294</f>
        <v>30.691207404000004</v>
      </c>
      <c r="I55" s="23">
        <f>F55 * G55 * 64.853655</f>
        <v>4.2803412300000003</v>
      </c>
      <c r="J55" s="23">
        <f t="shared" si="5"/>
        <v>0</v>
      </c>
      <c r="K55" s="23">
        <f>F55 * G55 * 442.790419</f>
        <v>29.224167654000002</v>
      </c>
      <c r="L55" s="23">
        <f>F55 * G55 * 112.427765999999</f>
        <v>7.4202325559999345</v>
      </c>
      <c r="M55" s="23">
        <f>F55 * G55 * 93.003659</f>
        <v>6.1382414939999999</v>
      </c>
      <c r="N55" s="24">
        <f t="shared" si="6"/>
        <v>77.75419033799993</v>
      </c>
      <c r="O55" s="25">
        <f>IF(O3&gt;0,N55/O3/12,0)</f>
        <v>2.5918063445999978E-2</v>
      </c>
    </row>
    <row r="56" spans="2:15" x14ac:dyDescent="0.3">
      <c r="B56" s="18">
        <v>43</v>
      </c>
      <c r="C56" s="19" t="s">
        <v>157</v>
      </c>
      <c r="D56" s="20" t="s">
        <v>158</v>
      </c>
      <c r="E56" s="20" t="s">
        <v>159</v>
      </c>
      <c r="F56" s="21">
        <v>0.54100000000000004</v>
      </c>
      <c r="G56" s="22">
        <v>2</v>
      </c>
      <c r="H56" s="23">
        <f>F56 * G56 * 77.0142</f>
        <v>83.329364400000003</v>
      </c>
      <c r="I56" s="23">
        <f>F56 * G56 * 54.74466</f>
        <v>59.23372212000001</v>
      </c>
      <c r="J56" s="23">
        <f t="shared" si="5"/>
        <v>0</v>
      </c>
      <c r="K56" s="23">
        <f>F56 * G56 * 73.332921</f>
        <v>79.34622052200001</v>
      </c>
      <c r="L56" s="23">
        <f>F56 * G56 * 23.262182</f>
        <v>25.169680924000001</v>
      </c>
      <c r="M56" s="23">
        <f>F56 * G56 * 15.40284</f>
        <v>16.665872880000002</v>
      </c>
      <c r="N56" s="24">
        <f t="shared" si="6"/>
        <v>263.74486084600005</v>
      </c>
      <c r="O56" s="25">
        <f>IF(O3&gt;0,N56/O3/12,0)</f>
        <v>8.7914953615333358E-2</v>
      </c>
    </row>
    <row r="57" spans="2:15" ht="27.6" x14ac:dyDescent="0.3">
      <c r="B57" s="18">
        <v>44</v>
      </c>
      <c r="C57" s="19" t="s">
        <v>160</v>
      </c>
      <c r="D57" s="20" t="s">
        <v>161</v>
      </c>
      <c r="E57" s="20" t="s">
        <v>162</v>
      </c>
      <c r="F57" s="21"/>
      <c r="G57" s="22">
        <v>2</v>
      </c>
      <c r="H57" s="23">
        <f>F57 * G57 * 227.290206</f>
        <v>0</v>
      </c>
      <c r="I57" s="23">
        <f>F57 * G57 * 46.25082</f>
        <v>0</v>
      </c>
      <c r="J57" s="23">
        <f t="shared" si="5"/>
        <v>0</v>
      </c>
      <c r="K57" s="23">
        <f>F57 * G57 * 216.425733999999</f>
        <v>0</v>
      </c>
      <c r="L57" s="23">
        <f>F57 * G57 * 56.487317</f>
        <v>0</v>
      </c>
      <c r="M57" s="23">
        <f>F57 * G57 * 45.458041</f>
        <v>0</v>
      </c>
      <c r="N57" s="24">
        <f t="shared" si="6"/>
        <v>0</v>
      </c>
      <c r="O57" s="25">
        <f>IF(O3&gt;0,N57/O3/12,0)</f>
        <v>0</v>
      </c>
    </row>
    <row r="58" spans="2:15" ht="27.6" x14ac:dyDescent="0.3">
      <c r="B58" s="18">
        <v>45</v>
      </c>
      <c r="C58" s="19" t="s">
        <v>163</v>
      </c>
      <c r="D58" s="20" t="s">
        <v>164</v>
      </c>
      <c r="E58" s="20" t="s">
        <v>165</v>
      </c>
      <c r="F58" s="21">
        <v>8.0000000000000002E-3</v>
      </c>
      <c r="G58" s="22">
        <v>2</v>
      </c>
      <c r="H58" s="23">
        <f>F58 * G58 * 465.018294</f>
        <v>7.4402927040000009</v>
      </c>
      <c r="I58" s="23">
        <f>F58 * G58 * 46.32414</f>
        <v>0.74118624</v>
      </c>
      <c r="J58" s="23">
        <f t="shared" si="5"/>
        <v>0</v>
      </c>
      <c r="K58" s="23">
        <f>F58 * G58 * 442.790419</f>
        <v>7.0846467039999999</v>
      </c>
      <c r="L58" s="23">
        <f>F58 * G58 * 110.472901999999</f>
        <v>1.767566431999984</v>
      </c>
      <c r="M58" s="23">
        <f>F58 * G58 * 93.003659</f>
        <v>1.488058544</v>
      </c>
      <c r="N58" s="24">
        <f t="shared" si="6"/>
        <v>18.521750623999985</v>
      </c>
      <c r="O58" s="25">
        <f>IF(O3&gt;0,N58/O3/12,0)</f>
        <v>6.1739168746666609E-3</v>
      </c>
    </row>
    <row r="59" spans="2:15" ht="27.6" x14ac:dyDescent="0.3">
      <c r="B59" s="18">
        <v>46</v>
      </c>
      <c r="C59" s="19" t="s">
        <v>166</v>
      </c>
      <c r="D59" s="20" t="s">
        <v>167</v>
      </c>
      <c r="E59" s="20" t="s">
        <v>168</v>
      </c>
      <c r="F59" s="21">
        <v>0.01</v>
      </c>
      <c r="G59" s="22">
        <v>2</v>
      </c>
      <c r="H59" s="23">
        <f>F59 * G59 * 387.053706</f>
        <v>7.7410741199999995</v>
      </c>
      <c r="I59" s="23">
        <f>F59 * G59 * 46.32414</f>
        <v>0.92648280000000005</v>
      </c>
      <c r="J59" s="23">
        <f t="shared" si="5"/>
        <v>0</v>
      </c>
      <c r="K59" s="23">
        <f>F59 * G59 * 368.552539</f>
        <v>7.3710507800000009</v>
      </c>
      <c r="L59" s="23">
        <f>F59 * G59 * 92.770489</f>
        <v>1.85540978</v>
      </c>
      <c r="M59" s="23">
        <f>F59 * G59 * 77.410741</f>
        <v>1.5482148200000001</v>
      </c>
      <c r="N59" s="24">
        <f t="shared" si="6"/>
        <v>19.442232300000001</v>
      </c>
      <c r="O59" s="25">
        <f>IF(O3&gt;0,N59/O3/12,0)</f>
        <v>6.4807441000000006E-3</v>
      </c>
    </row>
    <row r="60" spans="2:15" ht="41.4" x14ac:dyDescent="0.3">
      <c r="B60" s="18">
        <v>47</v>
      </c>
      <c r="C60" s="19" t="s">
        <v>169</v>
      </c>
      <c r="D60" s="20" t="s">
        <v>170</v>
      </c>
      <c r="E60" s="20" t="s">
        <v>171</v>
      </c>
      <c r="F60" s="21">
        <v>0.01</v>
      </c>
      <c r="G60" s="22">
        <v>2</v>
      </c>
      <c r="H60" s="23">
        <f>F60 * G60 * 607.1013</f>
        <v>12.142026000000001</v>
      </c>
      <c r="I60" s="23">
        <f>F60 * G60 * 46.32414</f>
        <v>0.92648280000000005</v>
      </c>
      <c r="J60" s="23">
        <f t="shared" si="5"/>
        <v>0</v>
      </c>
      <c r="K60" s="23">
        <f>F60 * G60 * 578.081858</f>
        <v>11.56163716</v>
      </c>
      <c r="L60" s="23">
        <f>F60 * G60 * 142.733858</f>
        <v>2.85467716</v>
      </c>
      <c r="M60" s="23">
        <f>F60 * G60 * 121.42026</f>
        <v>2.4284051999999998</v>
      </c>
      <c r="N60" s="24">
        <f t="shared" si="6"/>
        <v>29.913228320000002</v>
      </c>
      <c r="O60" s="25">
        <f>IF(O3&gt;0,N60/O3/12,0)</f>
        <v>9.9710761066666674E-3</v>
      </c>
    </row>
    <row r="61" spans="2:15" s="15" customFormat="1" ht="14.4" x14ac:dyDescent="0.3">
      <c r="B61" s="16"/>
      <c r="C61" s="17" t="s">
        <v>172</v>
      </c>
      <c r="D61" s="32" t="s">
        <v>173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2:15" ht="27.6" x14ac:dyDescent="0.3">
      <c r="B62" s="18">
        <v>48</v>
      </c>
      <c r="C62" s="19" t="s">
        <v>174</v>
      </c>
      <c r="D62" s="20" t="s">
        <v>175</v>
      </c>
      <c r="E62" s="20" t="s">
        <v>176</v>
      </c>
      <c r="F62" s="21">
        <v>0.1</v>
      </c>
      <c r="G62" s="22">
        <v>123.5</v>
      </c>
      <c r="H62" s="23">
        <f>F62 * G62 * 463.7238</f>
        <v>5726.9889300000004</v>
      </c>
      <c r="I62" s="23">
        <f>F62 * G62 * 2.619968</f>
        <v>32.356604800000007</v>
      </c>
      <c r="J62" s="23">
        <f>F62 * G62 * 0</f>
        <v>0</v>
      </c>
      <c r="K62" s="23">
        <f>F62 * G62 * 441.557802</f>
        <v>5453.2388547</v>
      </c>
      <c r="L62" s="23">
        <f>F62 * G62 * 105.568187999999</f>
        <v>1303.7671217999878</v>
      </c>
      <c r="M62" s="23">
        <f>F62 * G62 * 92.74476</f>
        <v>1145.3977860000002</v>
      </c>
      <c r="N62" s="24">
        <f t="shared" ref="N62:N71" si="7">SUM(H62:M62)</f>
        <v>13661.749297299988</v>
      </c>
      <c r="O62" s="25">
        <f>IF(O3&gt;0,N62/O3/12,0)</f>
        <v>4.5539164324333292</v>
      </c>
    </row>
    <row r="63" spans="2:15" ht="27.6" x14ac:dyDescent="0.3">
      <c r="B63" s="18">
        <v>49</v>
      </c>
      <c r="C63" s="19" t="s">
        <v>177</v>
      </c>
      <c r="D63" s="20" t="s">
        <v>178</v>
      </c>
      <c r="E63" s="20" t="s">
        <v>179</v>
      </c>
      <c r="F63" s="21">
        <v>3.0000000000000001E-3</v>
      </c>
      <c r="G63" s="22">
        <v>2</v>
      </c>
      <c r="H63" s="23">
        <f>F63 * G63 * 191170.5462</f>
        <v>1147.0232772000002</v>
      </c>
      <c r="I63" s="23">
        <f>F63 * G63 * 1083.608688</f>
        <v>6.5016521279999999</v>
      </c>
      <c r="J63" s="23">
        <f>F63 * G63 * 0</f>
        <v>0</v>
      </c>
      <c r="K63" s="23">
        <f>F63 * G63 * 182032.594092</f>
        <v>1092.1955645520002</v>
      </c>
      <c r="L63" s="23">
        <f>F63 * G63 * 43520.950542</f>
        <v>261.12570325199999</v>
      </c>
      <c r="M63" s="23">
        <f>F63 * G63 * 38234.10924</f>
        <v>229.40465544</v>
      </c>
      <c r="N63" s="24">
        <f t="shared" si="7"/>
        <v>2736.2508525720004</v>
      </c>
      <c r="O63" s="25">
        <f>IF(O3&gt;0,N63/O3/12,0)</f>
        <v>0.91208361752400025</v>
      </c>
    </row>
    <row r="64" spans="2:15" x14ac:dyDescent="0.3">
      <c r="B64" s="18">
        <v>50</v>
      </c>
      <c r="C64" s="19" t="s">
        <v>180</v>
      </c>
      <c r="D64" s="20" t="s">
        <v>181</v>
      </c>
      <c r="E64" s="20" t="s">
        <v>182</v>
      </c>
      <c r="F64" s="21">
        <v>3.0000000000000001E-3</v>
      </c>
      <c r="G64" s="22">
        <v>123.5</v>
      </c>
      <c r="H64" s="23">
        <f>F64 * G64 * 21028.1538</f>
        <v>7790.9309829000003</v>
      </c>
      <c r="I64" s="23">
        <f>F64 * G64 * 120.9216</f>
        <v>44.8014528</v>
      </c>
      <c r="J64" s="23">
        <f>F64 * G64 * 0</f>
        <v>0</v>
      </c>
      <c r="K64" s="23">
        <f>F64 * G64 * 20023.008048</f>
        <v>7418.5244817839994</v>
      </c>
      <c r="L64" s="23">
        <f>F64 * G64 * 4787.348849</f>
        <v>1773.7127485545</v>
      </c>
      <c r="M64" s="23">
        <f>F64 * G64 * 4205.63076</f>
        <v>1558.1861965799999</v>
      </c>
      <c r="N64" s="24">
        <f t="shared" si="7"/>
        <v>18586.1558626185</v>
      </c>
      <c r="O64" s="25">
        <f>IF(O3&gt;0,N64/O3/12,0)</f>
        <v>6.1953852875395006</v>
      </c>
    </row>
    <row r="65" spans="2:15" x14ac:dyDescent="0.3">
      <c r="B65" s="18">
        <v>51</v>
      </c>
      <c r="C65" s="19" t="s">
        <v>183</v>
      </c>
      <c r="D65" s="20" t="s">
        <v>184</v>
      </c>
      <c r="E65" s="20" t="s">
        <v>185</v>
      </c>
      <c r="F65" s="21">
        <v>3.41</v>
      </c>
      <c r="G65" s="22">
        <v>1</v>
      </c>
      <c r="H65" s="23">
        <f>F65 * G65 * 208.75764</f>
        <v>711.86355240000012</v>
      </c>
      <c r="I65" s="23">
        <f>F65 * G65 * 30.2304</f>
        <v>103.08566400000001</v>
      </c>
      <c r="J65" s="23">
        <f>F65 * G65 * 26.2218</f>
        <v>89.41633800000001</v>
      </c>
      <c r="K65" s="23">
        <f>F65 * G65 * 198.779025</f>
        <v>677.83647525000003</v>
      </c>
      <c r="L65" s="23">
        <f>F65 * G65 * 53.355611</f>
        <v>181.94263351000001</v>
      </c>
      <c r="M65" s="23">
        <f>F65 * G65 * 41.751528</f>
        <v>142.37271047999999</v>
      </c>
      <c r="N65" s="24">
        <f t="shared" si="7"/>
        <v>1906.51737364</v>
      </c>
      <c r="O65" s="25">
        <f>IF(O3&gt;0,N65/O3/12,0)</f>
        <v>0.63550579121333339</v>
      </c>
    </row>
    <row r="66" spans="2:15" ht="41.4" x14ac:dyDescent="0.3">
      <c r="B66" s="18">
        <v>52</v>
      </c>
      <c r="C66" s="19" t="s">
        <v>186</v>
      </c>
      <c r="D66" s="20" t="s">
        <v>187</v>
      </c>
      <c r="E66" s="20" t="s">
        <v>188</v>
      </c>
      <c r="F66" s="21">
        <v>0.01</v>
      </c>
      <c r="G66" s="22">
        <v>5</v>
      </c>
      <c r="H66" s="23">
        <f>F66 * G66 * 6828.0462</f>
        <v>341.40231</v>
      </c>
      <c r="I66" s="23">
        <f>F66 * G66 * 0</f>
        <v>0</v>
      </c>
      <c r="J66" s="23">
        <f t="shared" ref="J66:J71" si="8">F66 * G66 * 0</f>
        <v>0</v>
      </c>
      <c r="K66" s="23">
        <f>F66 * G66 * 6501.66559199999</f>
        <v>325.08327959999951</v>
      </c>
      <c r="L66" s="23">
        <f>F66 * G66 * 1550.356369</f>
        <v>77.517818450000007</v>
      </c>
      <c r="M66" s="23">
        <f>F66 * G66 * 1365.60924</f>
        <v>68.280462</v>
      </c>
      <c r="N66" s="24">
        <f t="shared" si="7"/>
        <v>812.28387004999945</v>
      </c>
      <c r="O66" s="25">
        <f>IF(O3&gt;0,N66/O3/12,0)</f>
        <v>0.27076129001666649</v>
      </c>
    </row>
    <row r="67" spans="2:15" ht="41.4" x14ac:dyDescent="0.3">
      <c r="B67" s="18">
        <v>53</v>
      </c>
      <c r="C67" s="19" t="s">
        <v>189</v>
      </c>
      <c r="D67" s="20" t="s">
        <v>190</v>
      </c>
      <c r="E67" s="20" t="s">
        <v>188</v>
      </c>
      <c r="F67" s="21">
        <v>0.01</v>
      </c>
      <c r="G67" s="22">
        <v>10</v>
      </c>
      <c r="H67" s="23">
        <f>F67 * G67 * 23214.0462</f>
        <v>2321.4046200000003</v>
      </c>
      <c r="I67" s="23">
        <f>F67 * G67 * 0</f>
        <v>0</v>
      </c>
      <c r="J67" s="23">
        <f t="shared" si="8"/>
        <v>0</v>
      </c>
      <c r="K67" s="23">
        <f>F67 * G67 * 22104.414792</f>
        <v>2210.4414792000002</v>
      </c>
      <c r="L67" s="23">
        <f>F67 * G67 * 5270.914009</f>
        <v>527.09140090000005</v>
      </c>
      <c r="M67" s="23">
        <f>F67 * G67 * 4642.80924</f>
        <v>464.28092399999997</v>
      </c>
      <c r="N67" s="24">
        <f t="shared" si="7"/>
        <v>5523.2184240999995</v>
      </c>
      <c r="O67" s="25">
        <f>IF(O3&gt;0,N67/O3/12,0)</f>
        <v>1.8410728080333332</v>
      </c>
    </row>
    <row r="68" spans="2:15" ht="27.6" x14ac:dyDescent="0.3">
      <c r="B68" s="18">
        <v>54</v>
      </c>
      <c r="C68" s="19" t="s">
        <v>191</v>
      </c>
      <c r="D68" s="20" t="s">
        <v>192</v>
      </c>
      <c r="E68" s="20" t="s">
        <v>193</v>
      </c>
      <c r="F68" s="21">
        <v>4.08</v>
      </c>
      <c r="G68" s="22">
        <v>2</v>
      </c>
      <c r="H68" s="23">
        <f>F68 * G68 * 639.054</f>
        <v>5214.6806399999996</v>
      </c>
      <c r="I68" s="23">
        <f>F68 * G68 * 0</f>
        <v>0</v>
      </c>
      <c r="J68" s="23">
        <f t="shared" si="8"/>
        <v>0</v>
      </c>
      <c r="K68" s="23">
        <f>F68 * G68 * 608.507219</f>
        <v>4965.4189070399998</v>
      </c>
      <c r="L68" s="23">
        <f>F68 * G68 * 145.101748</f>
        <v>1184.03026368</v>
      </c>
      <c r="M68" s="23">
        <f>F68 * G68 * 127.8108</f>
        <v>1042.9361280000001</v>
      </c>
      <c r="N68" s="24">
        <f t="shared" si="7"/>
        <v>12407.065938719999</v>
      </c>
      <c r="O68" s="25">
        <f>IF(O3&gt;0,N68/O3/12,0)</f>
        <v>4.1356886462399993</v>
      </c>
    </row>
    <row r="69" spans="2:15" x14ac:dyDescent="0.3">
      <c r="B69" s="18">
        <v>55</v>
      </c>
      <c r="C69" s="19" t="s">
        <v>194</v>
      </c>
      <c r="D69" s="20" t="s">
        <v>195</v>
      </c>
      <c r="E69" s="20" t="s">
        <v>196</v>
      </c>
      <c r="F69" s="21">
        <v>4.08</v>
      </c>
      <c r="G69" s="22">
        <v>1</v>
      </c>
      <c r="H69" s="23">
        <f>F69 * G69 * 196.632</f>
        <v>802.25855999999999</v>
      </c>
      <c r="I69" s="23">
        <f>F69 * G69 * 0</f>
        <v>0</v>
      </c>
      <c r="J69" s="23">
        <f t="shared" si="8"/>
        <v>0</v>
      </c>
      <c r="K69" s="23">
        <f>F69 * G69 * 187.23299</f>
        <v>763.91059919999998</v>
      </c>
      <c r="L69" s="23">
        <f>F69 * G69 * 44.646692</f>
        <v>182.15850336</v>
      </c>
      <c r="M69" s="23">
        <f>F69 * G69 * 39.3264</f>
        <v>160.45171200000001</v>
      </c>
      <c r="N69" s="24">
        <f t="shared" si="7"/>
        <v>1908.77937456</v>
      </c>
      <c r="O69" s="25">
        <f>IF(O3&gt;0,N69/O3/12,0)</f>
        <v>0.63625979152000001</v>
      </c>
    </row>
    <row r="70" spans="2:15" ht="27.6" x14ac:dyDescent="0.3">
      <c r="B70" s="18">
        <v>56</v>
      </c>
      <c r="C70" s="19" t="s">
        <v>197</v>
      </c>
      <c r="D70" s="20" t="s">
        <v>198</v>
      </c>
      <c r="E70" s="20" t="s">
        <v>199</v>
      </c>
      <c r="F70" s="21">
        <v>0.1</v>
      </c>
      <c r="G70" s="22">
        <v>123.5</v>
      </c>
      <c r="H70" s="23">
        <f>F70 * G70 * 226.1268</f>
        <v>2792.6659800000002</v>
      </c>
      <c r="I70" s="23">
        <f>F70 * G70 * 0</f>
        <v>0</v>
      </c>
      <c r="J70" s="23">
        <f t="shared" si="8"/>
        <v>0</v>
      </c>
      <c r="K70" s="23">
        <f>F70 * G70 * 215.317939</f>
        <v>2659.1765466500001</v>
      </c>
      <c r="L70" s="23">
        <f>F70 * G70 * 51.343695</f>
        <v>634.09463325000002</v>
      </c>
      <c r="M70" s="23">
        <f>F70 * G70 * 45.22536</f>
        <v>558.53319600000009</v>
      </c>
      <c r="N70" s="24">
        <f t="shared" si="7"/>
        <v>6644.4703559</v>
      </c>
      <c r="O70" s="25">
        <f>IF(O3&gt;0,N70/O3/12,0)</f>
        <v>2.2148234519666667</v>
      </c>
    </row>
    <row r="71" spans="2:15" ht="27.6" x14ac:dyDescent="0.3">
      <c r="B71" s="18">
        <v>57</v>
      </c>
      <c r="C71" s="19" t="s">
        <v>200</v>
      </c>
      <c r="D71" s="20" t="s">
        <v>201</v>
      </c>
      <c r="E71" s="20" t="s">
        <v>199</v>
      </c>
      <c r="F71" s="21">
        <v>0.1</v>
      </c>
      <c r="G71" s="22">
        <v>123.5</v>
      </c>
      <c r="H71" s="23">
        <f>F71 * G71 * 41.7843</f>
        <v>516.03610500000013</v>
      </c>
      <c r="I71" s="23">
        <f>F71 * G71 * 0.236805</f>
        <v>2.9245417500000004</v>
      </c>
      <c r="J71" s="23">
        <f t="shared" si="8"/>
        <v>0</v>
      </c>
      <c r="K71" s="23">
        <f>F71 * G71 * 39.7870099999999</f>
        <v>491.36957349999886</v>
      </c>
      <c r="L71" s="23">
        <f>F71 * G71 * 9.512405</f>
        <v>117.47820175000001</v>
      </c>
      <c r="M71" s="23">
        <f>F71 * G71 * 8.35686</f>
        <v>103.207221</v>
      </c>
      <c r="N71" s="24">
        <f t="shared" si="7"/>
        <v>1231.0156429999988</v>
      </c>
      <c r="O71" s="25">
        <f>IF(O3&gt;0,N71/O3/12,0)</f>
        <v>0.41033854766666628</v>
      </c>
    </row>
    <row r="72" spans="2:15" s="15" customFormat="1" ht="14.4" x14ac:dyDescent="0.3">
      <c r="B72" s="16"/>
      <c r="C72" s="17" t="s">
        <v>202</v>
      </c>
      <c r="D72" s="32" t="s">
        <v>203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2:15" ht="41.4" x14ac:dyDescent="0.3">
      <c r="B73" s="18">
        <v>58</v>
      </c>
      <c r="C73" s="19" t="s">
        <v>204</v>
      </c>
      <c r="D73" s="20" t="s">
        <v>205</v>
      </c>
      <c r="E73" s="20" t="s">
        <v>206</v>
      </c>
      <c r="F73" s="21">
        <v>1.2E-2</v>
      </c>
      <c r="G73" s="22">
        <v>2</v>
      </c>
      <c r="H73" s="23">
        <f>F73 * G73 * 1550.77104</f>
        <v>37.218504960000004</v>
      </c>
      <c r="I73" s="23">
        <f>F73 * G73 * 59.5584</f>
        <v>1.4294016</v>
      </c>
      <c r="J73" s="23">
        <f>F73 * G73 * 0</f>
        <v>0</v>
      </c>
      <c r="K73" s="23">
        <f>F73 * G73 * 1476.644184</f>
        <v>35.439460416000003</v>
      </c>
      <c r="L73" s="23">
        <f>F73 * G73 * 358.396985999999</f>
        <v>8.6015276639999758</v>
      </c>
      <c r="M73" s="23">
        <f>F73 * G73 * 310.154208</f>
        <v>7.4437009920000001</v>
      </c>
      <c r="N73" s="24">
        <f>SUM(H73:M73)</f>
        <v>90.132595631999976</v>
      </c>
      <c r="O73" s="25">
        <f>IF(O3&gt;0,N73/O3/12,0)</f>
        <v>3.0044198543999992E-2</v>
      </c>
    </row>
    <row r="74" spans="2:15" ht="41.4" x14ac:dyDescent="0.3">
      <c r="B74" s="18">
        <v>59</v>
      </c>
      <c r="C74" s="19" t="s">
        <v>207</v>
      </c>
      <c r="D74" s="20" t="s">
        <v>208</v>
      </c>
      <c r="E74" s="20" t="s">
        <v>206</v>
      </c>
      <c r="F74" s="21">
        <v>1.2E-2</v>
      </c>
      <c r="G74" s="22">
        <v>1</v>
      </c>
      <c r="H74" s="23">
        <f>F74 * G74 * 1104.924366</f>
        <v>13.259092391999999</v>
      </c>
      <c r="I74" s="23">
        <f>F74 * G74 * 270.72</f>
        <v>3.2486400000000004</v>
      </c>
      <c r="J74" s="23">
        <f>F74 * G74 * 0</f>
        <v>0</v>
      </c>
      <c r="K74" s="23">
        <f>F74 * G74 * 1052.10898099999</f>
        <v>12.625307771999882</v>
      </c>
      <c r="L74" s="23">
        <f>F74 * G74 * 279.441882</f>
        <v>3.3533025840000001</v>
      </c>
      <c r="M74" s="23">
        <f>F74 * G74 * 220.984873</f>
        <v>2.6518184759999999</v>
      </c>
      <c r="N74" s="24">
        <f>SUM(H74:M74)</f>
        <v>35.138161223999887</v>
      </c>
      <c r="O74" s="25">
        <f>IF(O3&gt;0,N74/O3/12,0)</f>
        <v>1.1712720407999963E-2</v>
      </c>
    </row>
    <row r="75" spans="2:15" s="26" customFormat="1" ht="19.95" customHeight="1" x14ac:dyDescent="0.3">
      <c r="B75" s="33" t="s">
        <v>209</v>
      </c>
      <c r="C75" s="33"/>
      <c r="D75" s="33"/>
      <c r="E75" s="33"/>
      <c r="F75" s="33"/>
      <c r="G75" s="33"/>
      <c r="H75" s="27">
        <f t="shared" ref="H75:O75" si="9">SUM(H4:H74)</f>
        <v>53253.572322995991</v>
      </c>
      <c r="I75" s="27">
        <f t="shared" si="9"/>
        <v>14414.286723325999</v>
      </c>
      <c r="J75" s="27">
        <f t="shared" si="9"/>
        <v>93.812268000000017</v>
      </c>
      <c r="K75" s="27">
        <f t="shared" si="9"/>
        <v>50711.732087489996</v>
      </c>
      <c r="L75" s="27">
        <f t="shared" si="9"/>
        <v>13622.675987338482</v>
      </c>
      <c r="M75" s="27">
        <f t="shared" si="9"/>
        <v>10651.487527696003</v>
      </c>
      <c r="N75" s="27">
        <f t="shared" si="9"/>
        <v>142747.56691684644</v>
      </c>
      <c r="O75" s="28">
        <f t="shared" si="9"/>
        <v>47.58252230561547</v>
      </c>
    </row>
  </sheetData>
  <mergeCells count="16">
    <mergeCell ref="B75:G75"/>
    <mergeCell ref="D36:O36"/>
    <mergeCell ref="D49:O49"/>
    <mergeCell ref="D51:O51"/>
    <mergeCell ref="D61:O61"/>
    <mergeCell ref="D72:O72"/>
    <mergeCell ref="D12:O12"/>
    <mergeCell ref="D22:O22"/>
    <mergeCell ref="D25:O25"/>
    <mergeCell ref="D28:O28"/>
    <mergeCell ref="D31:O31"/>
    <mergeCell ref="B2:L3"/>
    <mergeCell ref="M2:N2"/>
    <mergeCell ref="M3:N3"/>
    <mergeCell ref="D4:O4"/>
    <mergeCell ref="D6:O6"/>
  </mergeCells>
  <pageMargins left="0.7" right="0.7" top="0.75" bottom="0.75" header="0.3" footer="0.3"/>
  <pageSetup paperSize="9" fitToHeight="0" orientation="landscape" horizontalDpi="4294967295" verticalDpi="4294967295"/>
  <headerFooter>
    <oddHeader>&amp;C&amp;KCCCCCC&amp;"Arial"1.13 МКД коридорного типа с эл.плитами, уб.МОП и придомовой терр. Попова,32 2025 год</oddHeader>
    <oddFooter>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1.13 МКД коридорного типа с эл.плитами, уб.МОП и придомовой терр. Попова,32 2025 год</dc:title>
  <dc:subject/>
  <dc:creator/>
  <cp:keywords/>
  <dc:description/>
  <cp:lastModifiedBy/>
  <cp:lastPrinted>2024-11-25T09:26:24Z</cp:lastPrinted>
  <dcterms:created xsi:type="dcterms:W3CDTF">2024-11-25T09:26:24Z</dcterms:created>
  <dcterms:modified xsi:type="dcterms:W3CDTF">2024-11-25T09:40:16Z</dcterms:modified>
  <cp:category/>
</cp:coreProperties>
</file>