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384"/>
  </bookViews>
  <sheets>
    <sheet name="Смета" sheetId="1" r:id="rId1"/>
  </sheets>
  <definedNames>
    <definedName name="_xlnm.Print_Titles" localSheetId="0">Смета!$1:$1</definedName>
  </definedNames>
  <calcPr calcId="152511"/>
</workbook>
</file>

<file path=xl/calcChain.xml><?xml version="1.0" encoding="utf-8"?>
<calcChain xmlns="http://schemas.openxmlformats.org/spreadsheetml/2006/main">
  <c r="M241" i="1" l="1"/>
  <c r="L241" i="1"/>
  <c r="K241" i="1"/>
  <c r="J241" i="1"/>
  <c r="I241" i="1"/>
  <c r="H241" i="1"/>
  <c r="N241" i="1" s="1"/>
  <c r="O241" i="1" s="1"/>
  <c r="M240" i="1"/>
  <c r="L240" i="1"/>
  <c r="K240" i="1"/>
  <c r="J240" i="1"/>
  <c r="I240" i="1"/>
  <c r="H240" i="1"/>
  <c r="N240" i="1" s="1"/>
  <c r="O240" i="1" s="1"/>
  <c r="M238" i="1"/>
  <c r="L238" i="1"/>
  <c r="K238" i="1"/>
  <c r="J238" i="1"/>
  <c r="I238" i="1"/>
  <c r="H238" i="1"/>
  <c r="N238" i="1" s="1"/>
  <c r="O238" i="1" s="1"/>
  <c r="M237" i="1"/>
  <c r="L237" i="1"/>
  <c r="K237" i="1"/>
  <c r="J237" i="1"/>
  <c r="I237" i="1"/>
  <c r="H237" i="1"/>
  <c r="N237" i="1" s="1"/>
  <c r="O237" i="1" s="1"/>
  <c r="M235" i="1"/>
  <c r="L235" i="1"/>
  <c r="K235" i="1"/>
  <c r="J235" i="1"/>
  <c r="I235" i="1"/>
  <c r="H235" i="1"/>
  <c r="N235" i="1" s="1"/>
  <c r="O235" i="1" s="1"/>
  <c r="M234" i="1"/>
  <c r="L234" i="1"/>
  <c r="K234" i="1"/>
  <c r="J234" i="1"/>
  <c r="I234" i="1"/>
  <c r="H234" i="1"/>
  <c r="N234" i="1" s="1"/>
  <c r="O234" i="1" s="1"/>
  <c r="M233" i="1"/>
  <c r="L233" i="1"/>
  <c r="K233" i="1"/>
  <c r="J233" i="1"/>
  <c r="I233" i="1"/>
  <c r="H233" i="1"/>
  <c r="N233" i="1" s="1"/>
  <c r="O233" i="1" s="1"/>
  <c r="M232" i="1"/>
  <c r="L232" i="1"/>
  <c r="K232" i="1"/>
  <c r="J232" i="1"/>
  <c r="I232" i="1"/>
  <c r="H232" i="1"/>
  <c r="N232" i="1" s="1"/>
  <c r="O232" i="1" s="1"/>
  <c r="M231" i="1"/>
  <c r="L231" i="1"/>
  <c r="K231" i="1"/>
  <c r="J231" i="1"/>
  <c r="I231" i="1"/>
  <c r="H231" i="1"/>
  <c r="N231" i="1" s="1"/>
  <c r="O231" i="1" s="1"/>
  <c r="M230" i="1"/>
  <c r="L230" i="1"/>
  <c r="K230" i="1"/>
  <c r="J230" i="1"/>
  <c r="I230" i="1"/>
  <c r="H230" i="1"/>
  <c r="N230" i="1" s="1"/>
  <c r="O230" i="1" s="1"/>
  <c r="M228" i="1"/>
  <c r="L228" i="1"/>
  <c r="K228" i="1"/>
  <c r="J228" i="1"/>
  <c r="I228" i="1"/>
  <c r="H228" i="1"/>
  <c r="N228" i="1" s="1"/>
  <c r="O228" i="1" s="1"/>
  <c r="M227" i="1"/>
  <c r="L227" i="1"/>
  <c r="K227" i="1"/>
  <c r="J227" i="1"/>
  <c r="I227" i="1"/>
  <c r="H227" i="1"/>
  <c r="N227" i="1" s="1"/>
  <c r="O227" i="1" s="1"/>
  <c r="M226" i="1"/>
  <c r="L226" i="1"/>
  <c r="K226" i="1"/>
  <c r="J226" i="1"/>
  <c r="I226" i="1"/>
  <c r="H226" i="1"/>
  <c r="N226" i="1" s="1"/>
  <c r="O226" i="1" s="1"/>
  <c r="M225" i="1"/>
  <c r="L225" i="1"/>
  <c r="K225" i="1"/>
  <c r="J225" i="1"/>
  <c r="I225" i="1"/>
  <c r="H225" i="1"/>
  <c r="N225" i="1" s="1"/>
  <c r="O225" i="1" s="1"/>
  <c r="M224" i="1"/>
  <c r="L224" i="1"/>
  <c r="K224" i="1"/>
  <c r="J224" i="1"/>
  <c r="I224" i="1"/>
  <c r="H224" i="1"/>
  <c r="N224" i="1" s="1"/>
  <c r="O224" i="1" s="1"/>
  <c r="M223" i="1"/>
  <c r="L223" i="1"/>
  <c r="K223" i="1"/>
  <c r="J223" i="1"/>
  <c r="I223" i="1"/>
  <c r="H223" i="1"/>
  <c r="N223" i="1" s="1"/>
  <c r="O223" i="1" s="1"/>
  <c r="M222" i="1"/>
  <c r="L222" i="1"/>
  <c r="K222" i="1"/>
  <c r="J222" i="1"/>
  <c r="I222" i="1"/>
  <c r="H222" i="1"/>
  <c r="N222" i="1" s="1"/>
  <c r="O222" i="1" s="1"/>
  <c r="M221" i="1"/>
  <c r="L221" i="1"/>
  <c r="K221" i="1"/>
  <c r="J221" i="1"/>
  <c r="I221" i="1"/>
  <c r="H221" i="1"/>
  <c r="N221" i="1" s="1"/>
  <c r="O221" i="1" s="1"/>
  <c r="M220" i="1"/>
  <c r="L220" i="1"/>
  <c r="K220" i="1"/>
  <c r="J220" i="1"/>
  <c r="I220" i="1"/>
  <c r="H220" i="1"/>
  <c r="N220" i="1" s="1"/>
  <c r="O220" i="1" s="1"/>
  <c r="M219" i="1"/>
  <c r="L219" i="1"/>
  <c r="K219" i="1"/>
  <c r="J219" i="1"/>
  <c r="I219" i="1"/>
  <c r="H219" i="1"/>
  <c r="N219" i="1" s="1"/>
  <c r="O219" i="1" s="1"/>
  <c r="M218" i="1"/>
  <c r="L218" i="1"/>
  <c r="K218" i="1"/>
  <c r="J218" i="1"/>
  <c r="I218" i="1"/>
  <c r="H218" i="1"/>
  <c r="N218" i="1" s="1"/>
  <c r="O218" i="1" s="1"/>
  <c r="M217" i="1"/>
  <c r="L217" i="1"/>
  <c r="K217" i="1"/>
  <c r="J217" i="1"/>
  <c r="I217" i="1"/>
  <c r="H217" i="1"/>
  <c r="N217" i="1" s="1"/>
  <c r="O217" i="1" s="1"/>
  <c r="M216" i="1"/>
  <c r="L216" i="1"/>
  <c r="K216" i="1"/>
  <c r="J216" i="1"/>
  <c r="I216" i="1"/>
  <c r="H216" i="1"/>
  <c r="N216" i="1" s="1"/>
  <c r="O216" i="1" s="1"/>
  <c r="M215" i="1"/>
  <c r="L215" i="1"/>
  <c r="K215" i="1"/>
  <c r="J215" i="1"/>
  <c r="I215" i="1"/>
  <c r="H215" i="1"/>
  <c r="N215" i="1" s="1"/>
  <c r="O215" i="1" s="1"/>
  <c r="M214" i="1"/>
  <c r="L214" i="1"/>
  <c r="K214" i="1"/>
  <c r="J214" i="1"/>
  <c r="I214" i="1"/>
  <c r="H214" i="1"/>
  <c r="N214" i="1" s="1"/>
  <c r="O214" i="1" s="1"/>
  <c r="M213" i="1"/>
  <c r="L213" i="1"/>
  <c r="K213" i="1"/>
  <c r="J213" i="1"/>
  <c r="I213" i="1"/>
  <c r="H213" i="1"/>
  <c r="N213" i="1" s="1"/>
  <c r="O213" i="1" s="1"/>
  <c r="M212" i="1"/>
  <c r="L212" i="1"/>
  <c r="K212" i="1"/>
  <c r="J212" i="1"/>
  <c r="I212" i="1"/>
  <c r="H212" i="1"/>
  <c r="N212" i="1" s="1"/>
  <c r="O212" i="1" s="1"/>
  <c r="M211" i="1"/>
  <c r="L211" i="1"/>
  <c r="K211" i="1"/>
  <c r="J211" i="1"/>
  <c r="I211" i="1"/>
  <c r="H211" i="1"/>
  <c r="N211" i="1" s="1"/>
  <c r="O211" i="1" s="1"/>
  <c r="M210" i="1"/>
  <c r="L210" i="1"/>
  <c r="K210" i="1"/>
  <c r="J210" i="1"/>
  <c r="I210" i="1"/>
  <c r="H210" i="1"/>
  <c r="N210" i="1" s="1"/>
  <c r="O210" i="1" s="1"/>
  <c r="M209" i="1"/>
  <c r="L209" i="1"/>
  <c r="K209" i="1"/>
  <c r="J209" i="1"/>
  <c r="I209" i="1"/>
  <c r="H209" i="1"/>
  <c r="N209" i="1" s="1"/>
  <c r="O209" i="1" s="1"/>
  <c r="M208" i="1"/>
  <c r="L208" i="1"/>
  <c r="K208" i="1"/>
  <c r="J208" i="1"/>
  <c r="I208" i="1"/>
  <c r="H208" i="1"/>
  <c r="N208" i="1" s="1"/>
  <c r="O208" i="1" s="1"/>
  <c r="M207" i="1"/>
  <c r="L207" i="1"/>
  <c r="K207" i="1"/>
  <c r="J207" i="1"/>
  <c r="I207" i="1"/>
  <c r="H207" i="1"/>
  <c r="N207" i="1" s="1"/>
  <c r="O207" i="1" s="1"/>
  <c r="M206" i="1"/>
  <c r="L206" i="1"/>
  <c r="K206" i="1"/>
  <c r="J206" i="1"/>
  <c r="I206" i="1"/>
  <c r="H206" i="1"/>
  <c r="N206" i="1" s="1"/>
  <c r="O206" i="1" s="1"/>
  <c r="M205" i="1"/>
  <c r="L205" i="1"/>
  <c r="K205" i="1"/>
  <c r="J205" i="1"/>
  <c r="I205" i="1"/>
  <c r="H205" i="1"/>
  <c r="N205" i="1" s="1"/>
  <c r="O205" i="1" s="1"/>
  <c r="M204" i="1"/>
  <c r="L204" i="1"/>
  <c r="K204" i="1"/>
  <c r="J204" i="1"/>
  <c r="I204" i="1"/>
  <c r="H204" i="1"/>
  <c r="N204" i="1" s="1"/>
  <c r="O204" i="1" s="1"/>
  <c r="M203" i="1"/>
  <c r="L203" i="1"/>
  <c r="K203" i="1"/>
  <c r="J203" i="1"/>
  <c r="I203" i="1"/>
  <c r="H203" i="1"/>
  <c r="N203" i="1" s="1"/>
  <c r="O203" i="1" s="1"/>
  <c r="M202" i="1"/>
  <c r="L202" i="1"/>
  <c r="K202" i="1"/>
  <c r="J202" i="1"/>
  <c r="I202" i="1"/>
  <c r="H202" i="1"/>
  <c r="N202" i="1" s="1"/>
  <c r="O202" i="1" s="1"/>
  <c r="M201" i="1"/>
  <c r="L201" i="1"/>
  <c r="K201" i="1"/>
  <c r="J201" i="1"/>
  <c r="I201" i="1"/>
  <c r="H201" i="1"/>
  <c r="N201" i="1" s="1"/>
  <c r="O201" i="1" s="1"/>
  <c r="M200" i="1"/>
  <c r="L200" i="1"/>
  <c r="K200" i="1"/>
  <c r="J200" i="1"/>
  <c r="I200" i="1"/>
  <c r="H200" i="1"/>
  <c r="N200" i="1" s="1"/>
  <c r="O200" i="1" s="1"/>
  <c r="M199" i="1"/>
  <c r="L199" i="1"/>
  <c r="K199" i="1"/>
  <c r="J199" i="1"/>
  <c r="I199" i="1"/>
  <c r="H199" i="1"/>
  <c r="N199" i="1" s="1"/>
  <c r="O199" i="1" s="1"/>
  <c r="M198" i="1"/>
  <c r="L198" i="1"/>
  <c r="K198" i="1"/>
  <c r="J198" i="1"/>
  <c r="I198" i="1"/>
  <c r="H198" i="1"/>
  <c r="N198" i="1" s="1"/>
  <c r="O198" i="1" s="1"/>
  <c r="M197" i="1"/>
  <c r="L197" i="1"/>
  <c r="K197" i="1"/>
  <c r="J197" i="1"/>
  <c r="I197" i="1"/>
  <c r="H197" i="1"/>
  <c r="N197" i="1" s="1"/>
  <c r="O197" i="1" s="1"/>
  <c r="M195" i="1"/>
  <c r="L195" i="1"/>
  <c r="K195" i="1"/>
  <c r="J195" i="1"/>
  <c r="I195" i="1"/>
  <c r="H195" i="1"/>
  <c r="N195" i="1" s="1"/>
  <c r="O195" i="1" s="1"/>
  <c r="M194" i="1"/>
  <c r="L194" i="1"/>
  <c r="K194" i="1"/>
  <c r="J194" i="1"/>
  <c r="I194" i="1"/>
  <c r="H194" i="1"/>
  <c r="N194" i="1" s="1"/>
  <c r="O194" i="1" s="1"/>
  <c r="M193" i="1"/>
  <c r="L193" i="1"/>
  <c r="K193" i="1"/>
  <c r="J193" i="1"/>
  <c r="I193" i="1"/>
  <c r="H193" i="1"/>
  <c r="N193" i="1" s="1"/>
  <c r="O193" i="1" s="1"/>
  <c r="M192" i="1"/>
  <c r="L192" i="1"/>
  <c r="K192" i="1"/>
  <c r="J192" i="1"/>
  <c r="I192" i="1"/>
  <c r="H192" i="1"/>
  <c r="N192" i="1" s="1"/>
  <c r="O192" i="1" s="1"/>
  <c r="M191" i="1"/>
  <c r="L191" i="1"/>
  <c r="K191" i="1"/>
  <c r="J191" i="1"/>
  <c r="I191" i="1"/>
  <c r="H191" i="1"/>
  <c r="N191" i="1" s="1"/>
  <c r="O191" i="1" s="1"/>
  <c r="M190" i="1"/>
  <c r="L190" i="1"/>
  <c r="K190" i="1"/>
  <c r="J190" i="1"/>
  <c r="I190" i="1"/>
  <c r="H190" i="1"/>
  <c r="N190" i="1" s="1"/>
  <c r="O190" i="1" s="1"/>
  <c r="M189" i="1"/>
  <c r="L189" i="1"/>
  <c r="K189" i="1"/>
  <c r="J189" i="1"/>
  <c r="I189" i="1"/>
  <c r="H189" i="1"/>
  <c r="N189" i="1" s="1"/>
  <c r="O189" i="1" s="1"/>
  <c r="M188" i="1"/>
  <c r="L188" i="1"/>
  <c r="K188" i="1"/>
  <c r="J188" i="1"/>
  <c r="I188" i="1"/>
  <c r="H188" i="1"/>
  <c r="N188" i="1" s="1"/>
  <c r="O188" i="1" s="1"/>
  <c r="M187" i="1"/>
  <c r="L187" i="1"/>
  <c r="K187" i="1"/>
  <c r="J187" i="1"/>
  <c r="I187" i="1"/>
  <c r="H187" i="1"/>
  <c r="N187" i="1" s="1"/>
  <c r="O187" i="1" s="1"/>
  <c r="M186" i="1"/>
  <c r="L186" i="1"/>
  <c r="K186" i="1"/>
  <c r="J186" i="1"/>
  <c r="I186" i="1"/>
  <c r="H186" i="1"/>
  <c r="N186" i="1" s="1"/>
  <c r="O186" i="1" s="1"/>
  <c r="M185" i="1"/>
  <c r="L185" i="1"/>
  <c r="K185" i="1"/>
  <c r="J185" i="1"/>
  <c r="I185" i="1"/>
  <c r="H185" i="1"/>
  <c r="N185" i="1" s="1"/>
  <c r="O185" i="1" s="1"/>
  <c r="M184" i="1"/>
  <c r="L184" i="1"/>
  <c r="K184" i="1"/>
  <c r="J184" i="1"/>
  <c r="I184" i="1"/>
  <c r="H184" i="1"/>
  <c r="N184" i="1" s="1"/>
  <c r="O184" i="1" s="1"/>
  <c r="M183" i="1"/>
  <c r="L183" i="1"/>
  <c r="K183" i="1"/>
  <c r="J183" i="1"/>
  <c r="I183" i="1"/>
  <c r="H183" i="1"/>
  <c r="N183" i="1" s="1"/>
  <c r="O183" i="1" s="1"/>
  <c r="M182" i="1"/>
  <c r="L182" i="1"/>
  <c r="K182" i="1"/>
  <c r="J182" i="1"/>
  <c r="I182" i="1"/>
  <c r="H182" i="1"/>
  <c r="N182" i="1" s="1"/>
  <c r="O182" i="1" s="1"/>
  <c r="M181" i="1"/>
  <c r="L181" i="1"/>
  <c r="K181" i="1"/>
  <c r="J181" i="1"/>
  <c r="I181" i="1"/>
  <c r="H181" i="1"/>
  <c r="N181" i="1" s="1"/>
  <c r="O181" i="1" s="1"/>
  <c r="M180" i="1"/>
  <c r="L180" i="1"/>
  <c r="K180" i="1"/>
  <c r="J180" i="1"/>
  <c r="I180" i="1"/>
  <c r="H180" i="1"/>
  <c r="N180" i="1" s="1"/>
  <c r="O180" i="1" s="1"/>
  <c r="M179" i="1"/>
  <c r="L179" i="1"/>
  <c r="K179" i="1"/>
  <c r="J179" i="1"/>
  <c r="I179" i="1"/>
  <c r="H179" i="1"/>
  <c r="N179" i="1" s="1"/>
  <c r="O179" i="1" s="1"/>
  <c r="M178" i="1"/>
  <c r="L178" i="1"/>
  <c r="K178" i="1"/>
  <c r="J178" i="1"/>
  <c r="I178" i="1"/>
  <c r="H178" i="1"/>
  <c r="N178" i="1" s="1"/>
  <c r="O178" i="1" s="1"/>
  <c r="M176" i="1"/>
  <c r="L176" i="1"/>
  <c r="K176" i="1"/>
  <c r="J176" i="1"/>
  <c r="I176" i="1"/>
  <c r="H176" i="1"/>
  <c r="N176" i="1" s="1"/>
  <c r="O176" i="1" s="1"/>
  <c r="M175" i="1"/>
  <c r="L175" i="1"/>
  <c r="K175" i="1"/>
  <c r="J175" i="1"/>
  <c r="I175" i="1"/>
  <c r="H175" i="1"/>
  <c r="N175" i="1" s="1"/>
  <c r="O175" i="1" s="1"/>
  <c r="M174" i="1"/>
  <c r="L174" i="1"/>
  <c r="K174" i="1"/>
  <c r="J174" i="1"/>
  <c r="I174" i="1"/>
  <c r="H174" i="1"/>
  <c r="N174" i="1" s="1"/>
  <c r="O174" i="1" s="1"/>
  <c r="M172" i="1"/>
  <c r="L172" i="1"/>
  <c r="K172" i="1"/>
  <c r="J172" i="1"/>
  <c r="I172" i="1"/>
  <c r="H172" i="1"/>
  <c r="N172" i="1" s="1"/>
  <c r="O172" i="1" s="1"/>
  <c r="M171" i="1"/>
  <c r="L171" i="1"/>
  <c r="K171" i="1"/>
  <c r="J171" i="1"/>
  <c r="I171" i="1"/>
  <c r="H171" i="1"/>
  <c r="N171" i="1" s="1"/>
  <c r="O171" i="1" s="1"/>
  <c r="M170" i="1"/>
  <c r="L170" i="1"/>
  <c r="K170" i="1"/>
  <c r="J170" i="1"/>
  <c r="I170" i="1"/>
  <c r="H170" i="1"/>
  <c r="N170" i="1" s="1"/>
  <c r="O170" i="1" s="1"/>
  <c r="M169" i="1"/>
  <c r="L169" i="1"/>
  <c r="K169" i="1"/>
  <c r="J169" i="1"/>
  <c r="I169" i="1"/>
  <c r="H169" i="1"/>
  <c r="N169" i="1" s="1"/>
  <c r="O169" i="1" s="1"/>
  <c r="M168" i="1"/>
  <c r="L168" i="1"/>
  <c r="K168" i="1"/>
  <c r="J168" i="1"/>
  <c r="I168" i="1"/>
  <c r="H168" i="1"/>
  <c r="N168" i="1" s="1"/>
  <c r="O168" i="1" s="1"/>
  <c r="M167" i="1"/>
  <c r="L167" i="1"/>
  <c r="K167" i="1"/>
  <c r="J167" i="1"/>
  <c r="I167" i="1"/>
  <c r="H167" i="1"/>
  <c r="N167" i="1" s="1"/>
  <c r="O167" i="1" s="1"/>
  <c r="M166" i="1"/>
  <c r="L166" i="1"/>
  <c r="K166" i="1"/>
  <c r="J166" i="1"/>
  <c r="I166" i="1"/>
  <c r="H166" i="1"/>
  <c r="N166" i="1" s="1"/>
  <c r="O166" i="1" s="1"/>
  <c r="M165" i="1"/>
  <c r="L165" i="1"/>
  <c r="K165" i="1"/>
  <c r="J165" i="1"/>
  <c r="I165" i="1"/>
  <c r="H165" i="1"/>
  <c r="N165" i="1" s="1"/>
  <c r="O165" i="1" s="1"/>
  <c r="M164" i="1"/>
  <c r="L164" i="1"/>
  <c r="K164" i="1"/>
  <c r="J164" i="1"/>
  <c r="I164" i="1"/>
  <c r="H164" i="1"/>
  <c r="N164" i="1" s="1"/>
  <c r="O164" i="1" s="1"/>
  <c r="M163" i="1"/>
  <c r="L163" i="1"/>
  <c r="K163" i="1"/>
  <c r="J163" i="1"/>
  <c r="I163" i="1"/>
  <c r="H163" i="1"/>
  <c r="N163" i="1" s="1"/>
  <c r="O163" i="1" s="1"/>
  <c r="M162" i="1"/>
  <c r="L162" i="1"/>
  <c r="K162" i="1"/>
  <c r="J162" i="1"/>
  <c r="I162" i="1"/>
  <c r="H162" i="1"/>
  <c r="N162" i="1" s="1"/>
  <c r="O162" i="1" s="1"/>
  <c r="M161" i="1"/>
  <c r="L161" i="1"/>
  <c r="K161" i="1"/>
  <c r="J161" i="1"/>
  <c r="I161" i="1"/>
  <c r="H161" i="1"/>
  <c r="N161" i="1" s="1"/>
  <c r="O161" i="1" s="1"/>
  <c r="M160" i="1"/>
  <c r="L160" i="1"/>
  <c r="K160" i="1"/>
  <c r="J160" i="1"/>
  <c r="I160" i="1"/>
  <c r="H160" i="1"/>
  <c r="N160" i="1" s="1"/>
  <c r="O160" i="1" s="1"/>
  <c r="M159" i="1"/>
  <c r="L159" i="1"/>
  <c r="K159" i="1"/>
  <c r="J159" i="1"/>
  <c r="I159" i="1"/>
  <c r="H159" i="1"/>
  <c r="N159" i="1" s="1"/>
  <c r="O159" i="1" s="1"/>
  <c r="M158" i="1"/>
  <c r="L158" i="1"/>
  <c r="K158" i="1"/>
  <c r="J158" i="1"/>
  <c r="I158" i="1"/>
  <c r="H158" i="1"/>
  <c r="N158" i="1" s="1"/>
  <c r="O158" i="1" s="1"/>
  <c r="M157" i="1"/>
  <c r="L157" i="1"/>
  <c r="K157" i="1"/>
  <c r="J157" i="1"/>
  <c r="I157" i="1"/>
  <c r="H157" i="1"/>
  <c r="N157" i="1" s="1"/>
  <c r="O157" i="1" s="1"/>
  <c r="M156" i="1"/>
  <c r="L156" i="1"/>
  <c r="K156" i="1"/>
  <c r="J156" i="1"/>
  <c r="I156" i="1"/>
  <c r="H156" i="1"/>
  <c r="H242" i="1" s="1"/>
  <c r="M155" i="1"/>
  <c r="L155" i="1"/>
  <c r="K155" i="1"/>
  <c r="J155" i="1"/>
  <c r="I155" i="1"/>
  <c r="H155" i="1"/>
  <c r="N155" i="1" s="1"/>
  <c r="O155" i="1" s="1"/>
  <c r="M154" i="1"/>
  <c r="L154" i="1"/>
  <c r="K154" i="1"/>
  <c r="J154" i="1"/>
  <c r="I154" i="1"/>
  <c r="H154" i="1"/>
  <c r="M153" i="1"/>
  <c r="L153" i="1"/>
  <c r="K153" i="1"/>
  <c r="J153" i="1"/>
  <c r="I153" i="1"/>
  <c r="H153" i="1"/>
  <c r="N153" i="1" s="1"/>
  <c r="O153" i="1" s="1"/>
  <c r="M152" i="1"/>
  <c r="L152" i="1"/>
  <c r="K152" i="1"/>
  <c r="J152" i="1"/>
  <c r="I152" i="1"/>
  <c r="H152" i="1"/>
  <c r="M151" i="1"/>
  <c r="L151" i="1"/>
  <c r="K151" i="1"/>
  <c r="J151" i="1"/>
  <c r="I151" i="1"/>
  <c r="H151" i="1"/>
  <c r="N151" i="1" s="1"/>
  <c r="O151" i="1" s="1"/>
  <c r="M150" i="1"/>
  <c r="L150" i="1"/>
  <c r="K150" i="1"/>
  <c r="J150" i="1"/>
  <c r="I150" i="1"/>
  <c r="H150" i="1"/>
  <c r="M149" i="1"/>
  <c r="L149" i="1"/>
  <c r="K149" i="1"/>
  <c r="J149" i="1"/>
  <c r="I149" i="1"/>
  <c r="H149" i="1"/>
  <c r="N149" i="1" s="1"/>
  <c r="O149" i="1" s="1"/>
  <c r="M148" i="1"/>
  <c r="L148" i="1"/>
  <c r="K148" i="1"/>
  <c r="J148" i="1"/>
  <c r="I148" i="1"/>
  <c r="H148" i="1"/>
  <c r="M147" i="1"/>
  <c r="L147" i="1"/>
  <c r="K147" i="1"/>
  <c r="J147" i="1"/>
  <c r="I147" i="1"/>
  <c r="H147" i="1"/>
  <c r="N147" i="1" s="1"/>
  <c r="O147" i="1" s="1"/>
  <c r="M146" i="1"/>
  <c r="L146" i="1"/>
  <c r="K146" i="1"/>
  <c r="J146" i="1"/>
  <c r="I146" i="1"/>
  <c r="H146" i="1"/>
  <c r="M145" i="1"/>
  <c r="L145" i="1"/>
  <c r="K145" i="1"/>
  <c r="J145" i="1"/>
  <c r="I145" i="1"/>
  <c r="H145" i="1"/>
  <c r="N145" i="1" s="1"/>
  <c r="O145" i="1" s="1"/>
  <c r="M144" i="1"/>
  <c r="L144" i="1"/>
  <c r="K144" i="1"/>
  <c r="J144" i="1"/>
  <c r="I144" i="1"/>
  <c r="H144" i="1"/>
  <c r="M143" i="1"/>
  <c r="L143" i="1"/>
  <c r="K143" i="1"/>
  <c r="J143" i="1"/>
  <c r="I143" i="1"/>
  <c r="H143" i="1"/>
  <c r="N143" i="1" s="1"/>
  <c r="O143" i="1" s="1"/>
  <c r="M142" i="1"/>
  <c r="L142" i="1"/>
  <c r="K142" i="1"/>
  <c r="J142" i="1"/>
  <c r="I142" i="1"/>
  <c r="H142" i="1"/>
  <c r="M141" i="1"/>
  <c r="L141" i="1"/>
  <c r="K141" i="1"/>
  <c r="J141" i="1"/>
  <c r="I141" i="1"/>
  <c r="H141" i="1"/>
  <c r="N141" i="1" s="1"/>
  <c r="O141" i="1" s="1"/>
  <c r="M140" i="1"/>
  <c r="L140" i="1"/>
  <c r="K140" i="1"/>
  <c r="J140" i="1"/>
  <c r="I140" i="1"/>
  <c r="H140" i="1"/>
  <c r="M139" i="1"/>
  <c r="L139" i="1"/>
  <c r="K139" i="1"/>
  <c r="J139" i="1"/>
  <c r="I139" i="1"/>
  <c r="H139" i="1"/>
  <c r="N139" i="1" s="1"/>
  <c r="O139" i="1" s="1"/>
  <c r="M138" i="1"/>
  <c r="L138" i="1"/>
  <c r="K138" i="1"/>
  <c r="J138" i="1"/>
  <c r="I138" i="1"/>
  <c r="H138" i="1"/>
  <c r="M137" i="1"/>
  <c r="L137" i="1"/>
  <c r="K137" i="1"/>
  <c r="J137" i="1"/>
  <c r="I137" i="1"/>
  <c r="H137" i="1"/>
  <c r="N137" i="1" s="1"/>
  <c r="O137" i="1" s="1"/>
  <c r="M136" i="1"/>
  <c r="L136" i="1"/>
  <c r="K136" i="1"/>
  <c r="J136" i="1"/>
  <c r="I136" i="1"/>
  <c r="H136" i="1"/>
  <c r="M135" i="1"/>
  <c r="L135" i="1"/>
  <c r="K135" i="1"/>
  <c r="J135" i="1"/>
  <c r="I135" i="1"/>
  <c r="H135" i="1"/>
  <c r="N135" i="1" s="1"/>
  <c r="O135" i="1" s="1"/>
  <c r="M134" i="1"/>
  <c r="L134" i="1"/>
  <c r="K134" i="1"/>
  <c r="J134" i="1"/>
  <c r="I134" i="1"/>
  <c r="H134" i="1"/>
  <c r="M133" i="1"/>
  <c r="L133" i="1"/>
  <c r="K133" i="1"/>
  <c r="J133" i="1"/>
  <c r="I133" i="1"/>
  <c r="H133" i="1"/>
  <c r="N133" i="1" s="1"/>
  <c r="O133" i="1" s="1"/>
  <c r="M131" i="1"/>
  <c r="L131" i="1"/>
  <c r="K131" i="1"/>
  <c r="J131" i="1"/>
  <c r="I131" i="1"/>
  <c r="H131" i="1"/>
  <c r="M130" i="1"/>
  <c r="L130" i="1"/>
  <c r="K130" i="1"/>
  <c r="J130" i="1"/>
  <c r="I130" i="1"/>
  <c r="H130" i="1"/>
  <c r="N130" i="1" s="1"/>
  <c r="O130" i="1" s="1"/>
  <c r="M129" i="1"/>
  <c r="L129" i="1"/>
  <c r="K129" i="1"/>
  <c r="J129" i="1"/>
  <c r="I129" i="1"/>
  <c r="H129" i="1"/>
  <c r="M128" i="1"/>
  <c r="L128" i="1"/>
  <c r="K128" i="1"/>
  <c r="J128" i="1"/>
  <c r="I128" i="1"/>
  <c r="H128" i="1"/>
  <c r="N128" i="1" s="1"/>
  <c r="O128" i="1" s="1"/>
  <c r="M127" i="1"/>
  <c r="L127" i="1"/>
  <c r="K127" i="1"/>
  <c r="J127" i="1"/>
  <c r="I127" i="1"/>
  <c r="H127" i="1"/>
  <c r="M126" i="1"/>
  <c r="L126" i="1"/>
  <c r="K126" i="1"/>
  <c r="J126" i="1"/>
  <c r="I126" i="1"/>
  <c r="H126" i="1"/>
  <c r="N126" i="1" s="1"/>
  <c r="O126" i="1" s="1"/>
  <c r="M125" i="1"/>
  <c r="L125" i="1"/>
  <c r="K125" i="1"/>
  <c r="J125" i="1"/>
  <c r="I125" i="1"/>
  <c r="H125" i="1"/>
  <c r="M123" i="1"/>
  <c r="L123" i="1"/>
  <c r="K123" i="1"/>
  <c r="J123" i="1"/>
  <c r="I123" i="1"/>
  <c r="H123" i="1"/>
  <c r="N123" i="1" s="1"/>
  <c r="O123" i="1" s="1"/>
  <c r="M122" i="1"/>
  <c r="L122" i="1"/>
  <c r="K122" i="1"/>
  <c r="J122" i="1"/>
  <c r="I122" i="1"/>
  <c r="H122" i="1"/>
  <c r="M121" i="1"/>
  <c r="L121" i="1"/>
  <c r="K121" i="1"/>
  <c r="J121" i="1"/>
  <c r="I121" i="1"/>
  <c r="H121" i="1"/>
  <c r="N121" i="1" s="1"/>
  <c r="O121" i="1" s="1"/>
  <c r="M120" i="1"/>
  <c r="L120" i="1"/>
  <c r="K120" i="1"/>
  <c r="J120" i="1"/>
  <c r="I120" i="1"/>
  <c r="H120" i="1"/>
  <c r="M119" i="1"/>
  <c r="L119" i="1"/>
  <c r="K119" i="1"/>
  <c r="J119" i="1"/>
  <c r="I119" i="1"/>
  <c r="H119" i="1"/>
  <c r="N119" i="1" s="1"/>
  <c r="O119" i="1" s="1"/>
  <c r="M118" i="1"/>
  <c r="L118" i="1"/>
  <c r="K118" i="1"/>
  <c r="J118" i="1"/>
  <c r="I118" i="1"/>
  <c r="H118" i="1"/>
  <c r="M117" i="1"/>
  <c r="L117" i="1"/>
  <c r="K117" i="1"/>
  <c r="J117" i="1"/>
  <c r="I117" i="1"/>
  <c r="H117" i="1"/>
  <c r="N117" i="1" s="1"/>
  <c r="O117" i="1" s="1"/>
  <c r="M116" i="1"/>
  <c r="L116" i="1"/>
  <c r="K116" i="1"/>
  <c r="J116" i="1"/>
  <c r="I116" i="1"/>
  <c r="H116" i="1"/>
  <c r="M115" i="1"/>
  <c r="L115" i="1"/>
  <c r="K115" i="1"/>
  <c r="J115" i="1"/>
  <c r="I115" i="1"/>
  <c r="H115" i="1"/>
  <c r="N115" i="1" s="1"/>
  <c r="O115" i="1" s="1"/>
  <c r="M113" i="1"/>
  <c r="L113" i="1"/>
  <c r="K113" i="1"/>
  <c r="J113" i="1"/>
  <c r="I113" i="1"/>
  <c r="H113" i="1"/>
  <c r="M112" i="1"/>
  <c r="L112" i="1"/>
  <c r="K112" i="1"/>
  <c r="J112" i="1"/>
  <c r="I112" i="1"/>
  <c r="H112" i="1"/>
  <c r="N112" i="1" s="1"/>
  <c r="O112" i="1" s="1"/>
  <c r="M111" i="1"/>
  <c r="L111" i="1"/>
  <c r="K111" i="1"/>
  <c r="J111" i="1"/>
  <c r="I111" i="1"/>
  <c r="H111" i="1"/>
  <c r="M110" i="1"/>
  <c r="L110" i="1"/>
  <c r="K110" i="1"/>
  <c r="J110" i="1"/>
  <c r="I110" i="1"/>
  <c r="H110" i="1"/>
  <c r="N110" i="1" s="1"/>
  <c r="O110" i="1" s="1"/>
  <c r="M109" i="1"/>
  <c r="L109" i="1"/>
  <c r="K109" i="1"/>
  <c r="J109" i="1"/>
  <c r="I109" i="1"/>
  <c r="H109" i="1"/>
  <c r="M107" i="1"/>
  <c r="L107" i="1"/>
  <c r="K107" i="1"/>
  <c r="J107" i="1"/>
  <c r="I107" i="1"/>
  <c r="H107" i="1"/>
  <c r="N107" i="1" s="1"/>
  <c r="O107" i="1" s="1"/>
  <c r="M106" i="1"/>
  <c r="L106" i="1"/>
  <c r="K106" i="1"/>
  <c r="J106" i="1"/>
  <c r="I106" i="1"/>
  <c r="H106" i="1"/>
  <c r="M105" i="1"/>
  <c r="L105" i="1"/>
  <c r="K105" i="1"/>
  <c r="J105" i="1"/>
  <c r="I105" i="1"/>
  <c r="H105" i="1"/>
  <c r="N105" i="1" s="1"/>
  <c r="O105" i="1" s="1"/>
  <c r="M104" i="1"/>
  <c r="L104" i="1"/>
  <c r="K104" i="1"/>
  <c r="J104" i="1"/>
  <c r="I104" i="1"/>
  <c r="H104" i="1"/>
  <c r="M103" i="1"/>
  <c r="L103" i="1"/>
  <c r="K103" i="1"/>
  <c r="J103" i="1"/>
  <c r="I103" i="1"/>
  <c r="H103" i="1"/>
  <c r="N103" i="1" s="1"/>
  <c r="O103" i="1" s="1"/>
  <c r="M102" i="1"/>
  <c r="L102" i="1"/>
  <c r="K102" i="1"/>
  <c r="J102" i="1"/>
  <c r="I102" i="1"/>
  <c r="H102" i="1"/>
  <c r="M101" i="1"/>
  <c r="L101" i="1"/>
  <c r="K101" i="1"/>
  <c r="J101" i="1"/>
  <c r="I101" i="1"/>
  <c r="H101" i="1"/>
  <c r="N101" i="1" s="1"/>
  <c r="O101" i="1" s="1"/>
  <c r="M100" i="1"/>
  <c r="L100" i="1"/>
  <c r="K100" i="1"/>
  <c r="J100" i="1"/>
  <c r="I100" i="1"/>
  <c r="H100" i="1"/>
  <c r="M99" i="1"/>
  <c r="L99" i="1"/>
  <c r="K99" i="1"/>
  <c r="J99" i="1"/>
  <c r="I99" i="1"/>
  <c r="H99" i="1"/>
  <c r="N99" i="1" s="1"/>
  <c r="O99" i="1" s="1"/>
  <c r="M98" i="1"/>
  <c r="L98" i="1"/>
  <c r="K98" i="1"/>
  <c r="J98" i="1"/>
  <c r="I98" i="1"/>
  <c r="H98" i="1"/>
  <c r="M97" i="1"/>
  <c r="L97" i="1"/>
  <c r="K97" i="1"/>
  <c r="J97" i="1"/>
  <c r="I97" i="1"/>
  <c r="H97" i="1"/>
  <c r="N97" i="1" s="1"/>
  <c r="O97" i="1" s="1"/>
  <c r="M96" i="1"/>
  <c r="L96" i="1"/>
  <c r="K96" i="1"/>
  <c r="J96" i="1"/>
  <c r="I96" i="1"/>
  <c r="H96" i="1"/>
  <c r="M95" i="1"/>
  <c r="L95" i="1"/>
  <c r="K95" i="1"/>
  <c r="J95" i="1"/>
  <c r="I95" i="1"/>
  <c r="H95" i="1"/>
  <c r="N95" i="1" s="1"/>
  <c r="O95" i="1" s="1"/>
  <c r="M93" i="1"/>
  <c r="L93" i="1"/>
  <c r="K93" i="1"/>
  <c r="J93" i="1"/>
  <c r="I93" i="1"/>
  <c r="H93" i="1"/>
  <c r="M92" i="1"/>
  <c r="L92" i="1"/>
  <c r="K92" i="1"/>
  <c r="J92" i="1"/>
  <c r="I92" i="1"/>
  <c r="H92" i="1"/>
  <c r="N92" i="1" s="1"/>
  <c r="O92" i="1" s="1"/>
  <c r="M91" i="1"/>
  <c r="L91" i="1"/>
  <c r="K91" i="1"/>
  <c r="J91" i="1"/>
  <c r="I91" i="1"/>
  <c r="H91" i="1"/>
  <c r="M90" i="1"/>
  <c r="L90" i="1"/>
  <c r="K90" i="1"/>
  <c r="J90" i="1"/>
  <c r="I90" i="1"/>
  <c r="H90" i="1"/>
  <c r="N90" i="1" s="1"/>
  <c r="O90" i="1" s="1"/>
  <c r="M89" i="1"/>
  <c r="L89" i="1"/>
  <c r="K89" i="1"/>
  <c r="J89" i="1"/>
  <c r="I89" i="1"/>
  <c r="H89" i="1"/>
  <c r="M88" i="1"/>
  <c r="L88" i="1"/>
  <c r="K88" i="1"/>
  <c r="J88" i="1"/>
  <c r="I88" i="1"/>
  <c r="H88" i="1"/>
  <c r="N88" i="1" s="1"/>
  <c r="O88" i="1" s="1"/>
  <c r="M87" i="1"/>
  <c r="L87" i="1"/>
  <c r="K87" i="1"/>
  <c r="J87" i="1"/>
  <c r="I87" i="1"/>
  <c r="H87" i="1"/>
  <c r="M86" i="1"/>
  <c r="L86" i="1"/>
  <c r="K86" i="1"/>
  <c r="J86" i="1"/>
  <c r="I86" i="1"/>
  <c r="H86" i="1"/>
  <c r="N86" i="1" s="1"/>
  <c r="O86" i="1" s="1"/>
  <c r="M85" i="1"/>
  <c r="L85" i="1"/>
  <c r="K85" i="1"/>
  <c r="J85" i="1"/>
  <c r="I85" i="1"/>
  <c r="H85" i="1"/>
  <c r="M83" i="1"/>
  <c r="L83" i="1"/>
  <c r="K83" i="1"/>
  <c r="J83" i="1"/>
  <c r="I83" i="1"/>
  <c r="H83" i="1"/>
  <c r="N83" i="1" s="1"/>
  <c r="O83" i="1" s="1"/>
  <c r="M82" i="1"/>
  <c r="L82" i="1"/>
  <c r="K82" i="1"/>
  <c r="J82" i="1"/>
  <c r="I82" i="1"/>
  <c r="H82" i="1"/>
  <c r="M81" i="1"/>
  <c r="L81" i="1"/>
  <c r="K81" i="1"/>
  <c r="J81" i="1"/>
  <c r="I81" i="1"/>
  <c r="H81" i="1"/>
  <c r="N81" i="1" s="1"/>
  <c r="O81" i="1" s="1"/>
  <c r="M80" i="1"/>
  <c r="L80" i="1"/>
  <c r="K80" i="1"/>
  <c r="J80" i="1"/>
  <c r="I80" i="1"/>
  <c r="H80" i="1"/>
  <c r="M79" i="1"/>
  <c r="L79" i="1"/>
  <c r="K79" i="1"/>
  <c r="J79" i="1"/>
  <c r="I79" i="1"/>
  <c r="H79" i="1"/>
  <c r="N79" i="1" s="1"/>
  <c r="O79" i="1" s="1"/>
  <c r="M78" i="1"/>
  <c r="L78" i="1"/>
  <c r="K78" i="1"/>
  <c r="J78" i="1"/>
  <c r="I78" i="1"/>
  <c r="H78" i="1"/>
  <c r="M77" i="1"/>
  <c r="L77" i="1"/>
  <c r="K77" i="1"/>
  <c r="J77" i="1"/>
  <c r="I77" i="1"/>
  <c r="H77" i="1"/>
  <c r="N77" i="1" s="1"/>
  <c r="O77" i="1" s="1"/>
  <c r="M76" i="1"/>
  <c r="L76" i="1"/>
  <c r="K76" i="1"/>
  <c r="J76" i="1"/>
  <c r="I76" i="1"/>
  <c r="H76" i="1"/>
  <c r="M74" i="1"/>
  <c r="L74" i="1"/>
  <c r="K74" i="1"/>
  <c r="J74" i="1"/>
  <c r="I74" i="1"/>
  <c r="H74" i="1"/>
  <c r="N74" i="1" s="1"/>
  <c r="O74" i="1" s="1"/>
  <c r="M73" i="1"/>
  <c r="L73" i="1"/>
  <c r="K73" i="1"/>
  <c r="J73" i="1"/>
  <c r="I73" i="1"/>
  <c r="H73" i="1"/>
  <c r="M72" i="1"/>
  <c r="L72" i="1"/>
  <c r="K72" i="1"/>
  <c r="J72" i="1"/>
  <c r="I72" i="1"/>
  <c r="H72" i="1"/>
  <c r="N72" i="1" s="1"/>
  <c r="O72" i="1" s="1"/>
  <c r="M71" i="1"/>
  <c r="L71" i="1"/>
  <c r="K71" i="1"/>
  <c r="J71" i="1"/>
  <c r="I71" i="1"/>
  <c r="H71" i="1"/>
  <c r="M70" i="1"/>
  <c r="L70" i="1"/>
  <c r="K70" i="1"/>
  <c r="J70" i="1"/>
  <c r="I70" i="1"/>
  <c r="H70" i="1"/>
  <c r="N70" i="1" s="1"/>
  <c r="O70" i="1" s="1"/>
  <c r="M69" i="1"/>
  <c r="L69" i="1"/>
  <c r="K69" i="1"/>
  <c r="J69" i="1"/>
  <c r="I69" i="1"/>
  <c r="H69" i="1"/>
  <c r="M68" i="1"/>
  <c r="L68" i="1"/>
  <c r="K68" i="1"/>
  <c r="J68" i="1"/>
  <c r="I68" i="1"/>
  <c r="H68" i="1"/>
  <c r="N68" i="1" s="1"/>
  <c r="O68" i="1" s="1"/>
  <c r="M67" i="1"/>
  <c r="L67" i="1"/>
  <c r="K67" i="1"/>
  <c r="J67" i="1"/>
  <c r="I67" i="1"/>
  <c r="H67" i="1"/>
  <c r="M66" i="1"/>
  <c r="L66" i="1"/>
  <c r="K66" i="1"/>
  <c r="J66" i="1"/>
  <c r="I66" i="1"/>
  <c r="H66" i="1"/>
  <c r="N66" i="1" s="1"/>
  <c r="O66" i="1" s="1"/>
  <c r="M65" i="1"/>
  <c r="L65" i="1"/>
  <c r="K65" i="1"/>
  <c r="J65" i="1"/>
  <c r="I65" i="1"/>
  <c r="H65" i="1"/>
  <c r="M64" i="1"/>
  <c r="L64" i="1"/>
  <c r="K64" i="1"/>
  <c r="J64" i="1"/>
  <c r="I64" i="1"/>
  <c r="H64" i="1"/>
  <c r="N64" i="1" s="1"/>
  <c r="O64" i="1" s="1"/>
  <c r="M63" i="1"/>
  <c r="L63" i="1"/>
  <c r="K63" i="1"/>
  <c r="J63" i="1"/>
  <c r="I63" i="1"/>
  <c r="H63" i="1"/>
  <c r="M62" i="1"/>
  <c r="L62" i="1"/>
  <c r="K62" i="1"/>
  <c r="J62" i="1"/>
  <c r="I62" i="1"/>
  <c r="H62" i="1"/>
  <c r="N62" i="1" s="1"/>
  <c r="O62" i="1" s="1"/>
  <c r="M61" i="1"/>
  <c r="L61" i="1"/>
  <c r="K61" i="1"/>
  <c r="J61" i="1"/>
  <c r="I61" i="1"/>
  <c r="H61" i="1"/>
  <c r="M60" i="1"/>
  <c r="L60" i="1"/>
  <c r="K60" i="1"/>
  <c r="J60" i="1"/>
  <c r="I60" i="1"/>
  <c r="H60" i="1"/>
  <c r="N60" i="1" s="1"/>
  <c r="O60" i="1" s="1"/>
  <c r="M59" i="1"/>
  <c r="L59" i="1"/>
  <c r="K59" i="1"/>
  <c r="J59" i="1"/>
  <c r="I59" i="1"/>
  <c r="H59" i="1"/>
  <c r="M58" i="1"/>
  <c r="L58" i="1"/>
  <c r="K58" i="1"/>
  <c r="J58" i="1"/>
  <c r="I58" i="1"/>
  <c r="H58" i="1"/>
  <c r="N58" i="1" s="1"/>
  <c r="O58" i="1" s="1"/>
  <c r="M57" i="1"/>
  <c r="L57" i="1"/>
  <c r="K57" i="1"/>
  <c r="J57" i="1"/>
  <c r="I57" i="1"/>
  <c r="H57" i="1"/>
  <c r="M56" i="1"/>
  <c r="L56" i="1"/>
  <c r="K56" i="1"/>
  <c r="J56" i="1"/>
  <c r="I56" i="1"/>
  <c r="H56" i="1"/>
  <c r="N56" i="1" s="1"/>
  <c r="O56" i="1" s="1"/>
  <c r="M55" i="1"/>
  <c r="L55" i="1"/>
  <c r="K55" i="1"/>
  <c r="J55" i="1"/>
  <c r="I55" i="1"/>
  <c r="H55" i="1"/>
  <c r="M54" i="1"/>
  <c r="L54" i="1"/>
  <c r="K54" i="1"/>
  <c r="J54" i="1"/>
  <c r="I54" i="1"/>
  <c r="H54" i="1"/>
  <c r="N54" i="1" s="1"/>
  <c r="O54" i="1" s="1"/>
  <c r="M53" i="1"/>
  <c r="L53" i="1"/>
  <c r="K53" i="1"/>
  <c r="J53" i="1"/>
  <c r="I53" i="1"/>
  <c r="H53" i="1"/>
  <c r="M52" i="1"/>
  <c r="L52" i="1"/>
  <c r="K52" i="1"/>
  <c r="J52" i="1"/>
  <c r="I52" i="1"/>
  <c r="H52" i="1"/>
  <c r="N52" i="1" s="1"/>
  <c r="O52" i="1" s="1"/>
  <c r="M50" i="1"/>
  <c r="L50" i="1"/>
  <c r="K50" i="1"/>
  <c r="J50" i="1"/>
  <c r="I50" i="1"/>
  <c r="H50" i="1"/>
  <c r="M49" i="1"/>
  <c r="L49" i="1"/>
  <c r="K49" i="1"/>
  <c r="J49" i="1"/>
  <c r="I49" i="1"/>
  <c r="H49" i="1"/>
  <c r="N49" i="1" s="1"/>
  <c r="O49" i="1" s="1"/>
  <c r="M48" i="1"/>
  <c r="L48" i="1"/>
  <c r="K48" i="1"/>
  <c r="J48" i="1"/>
  <c r="I48" i="1"/>
  <c r="H48" i="1"/>
  <c r="M47" i="1"/>
  <c r="L47" i="1"/>
  <c r="K47" i="1"/>
  <c r="J47" i="1"/>
  <c r="I47" i="1"/>
  <c r="H47" i="1"/>
  <c r="N47" i="1" s="1"/>
  <c r="O47" i="1" s="1"/>
  <c r="M46" i="1"/>
  <c r="L46" i="1"/>
  <c r="K46" i="1"/>
  <c r="J46" i="1"/>
  <c r="I46" i="1"/>
  <c r="H46" i="1"/>
  <c r="M45" i="1"/>
  <c r="L45" i="1"/>
  <c r="K45" i="1"/>
  <c r="J45" i="1"/>
  <c r="I45" i="1"/>
  <c r="H45" i="1"/>
  <c r="N45" i="1" s="1"/>
  <c r="O45" i="1" s="1"/>
  <c r="M44" i="1"/>
  <c r="L44" i="1"/>
  <c r="K44" i="1"/>
  <c r="J44" i="1"/>
  <c r="I44" i="1"/>
  <c r="H44" i="1"/>
  <c r="M43" i="1"/>
  <c r="L43" i="1"/>
  <c r="K43" i="1"/>
  <c r="J43" i="1"/>
  <c r="I43" i="1"/>
  <c r="H43" i="1"/>
  <c r="N43" i="1" s="1"/>
  <c r="O43" i="1" s="1"/>
  <c r="M42" i="1"/>
  <c r="L42" i="1"/>
  <c r="K42" i="1"/>
  <c r="J42" i="1"/>
  <c r="I42" i="1"/>
  <c r="H42" i="1"/>
  <c r="M41" i="1"/>
  <c r="L41" i="1"/>
  <c r="K41" i="1"/>
  <c r="J41" i="1"/>
  <c r="I41" i="1"/>
  <c r="H41" i="1"/>
  <c r="N41" i="1" s="1"/>
  <c r="O41" i="1" s="1"/>
  <c r="M40" i="1"/>
  <c r="L40" i="1"/>
  <c r="K40" i="1"/>
  <c r="J40" i="1"/>
  <c r="I40" i="1"/>
  <c r="H40" i="1"/>
  <c r="M39" i="1"/>
  <c r="L39" i="1"/>
  <c r="K39" i="1"/>
  <c r="J39" i="1"/>
  <c r="I39" i="1"/>
  <c r="H39" i="1"/>
  <c r="N39" i="1" s="1"/>
  <c r="O39" i="1" s="1"/>
  <c r="M38" i="1"/>
  <c r="L38" i="1"/>
  <c r="K38" i="1"/>
  <c r="J38" i="1"/>
  <c r="I38" i="1"/>
  <c r="H38" i="1"/>
  <c r="M36" i="1"/>
  <c r="L36" i="1"/>
  <c r="K36" i="1"/>
  <c r="J36" i="1"/>
  <c r="I36" i="1"/>
  <c r="H36" i="1"/>
  <c r="N36" i="1" s="1"/>
  <c r="O36" i="1" s="1"/>
  <c r="M35" i="1"/>
  <c r="L35" i="1"/>
  <c r="K35" i="1"/>
  <c r="J35" i="1"/>
  <c r="I35" i="1"/>
  <c r="H35" i="1"/>
  <c r="M33" i="1"/>
  <c r="L33" i="1"/>
  <c r="K33" i="1"/>
  <c r="J33" i="1"/>
  <c r="I33" i="1"/>
  <c r="H33" i="1"/>
  <c r="N33" i="1" s="1"/>
  <c r="O33" i="1" s="1"/>
  <c r="M31" i="1"/>
  <c r="L31" i="1"/>
  <c r="K31" i="1"/>
  <c r="J31" i="1"/>
  <c r="I31" i="1"/>
  <c r="H31" i="1"/>
  <c r="M30" i="1"/>
  <c r="L30" i="1"/>
  <c r="K30" i="1"/>
  <c r="J30" i="1"/>
  <c r="I30" i="1"/>
  <c r="H30" i="1"/>
  <c r="N30" i="1" s="1"/>
  <c r="O30" i="1" s="1"/>
  <c r="M29" i="1"/>
  <c r="L29" i="1"/>
  <c r="K29" i="1"/>
  <c r="J29" i="1"/>
  <c r="I29" i="1"/>
  <c r="H29" i="1"/>
  <c r="M27" i="1"/>
  <c r="L27" i="1"/>
  <c r="K27" i="1"/>
  <c r="J27" i="1"/>
  <c r="I27" i="1"/>
  <c r="H27" i="1"/>
  <c r="N27" i="1" s="1"/>
  <c r="O27" i="1" s="1"/>
  <c r="M25" i="1"/>
  <c r="L25" i="1"/>
  <c r="K25" i="1"/>
  <c r="J25" i="1"/>
  <c r="I25" i="1"/>
  <c r="H25" i="1"/>
  <c r="M24" i="1"/>
  <c r="L24" i="1"/>
  <c r="K24" i="1"/>
  <c r="J24" i="1"/>
  <c r="I24" i="1"/>
  <c r="H24" i="1"/>
  <c r="N24" i="1" s="1"/>
  <c r="O24" i="1" s="1"/>
  <c r="M23" i="1"/>
  <c r="L23" i="1"/>
  <c r="K23" i="1"/>
  <c r="J23" i="1"/>
  <c r="I23" i="1"/>
  <c r="H23" i="1"/>
  <c r="M22" i="1"/>
  <c r="L22" i="1"/>
  <c r="K22" i="1"/>
  <c r="J22" i="1"/>
  <c r="I22" i="1"/>
  <c r="H22" i="1"/>
  <c r="N22" i="1" s="1"/>
  <c r="O22" i="1" s="1"/>
  <c r="M21" i="1"/>
  <c r="L21" i="1"/>
  <c r="K21" i="1"/>
  <c r="J21" i="1"/>
  <c r="I21" i="1"/>
  <c r="H21" i="1"/>
  <c r="M20" i="1"/>
  <c r="L20" i="1"/>
  <c r="K20" i="1"/>
  <c r="J20" i="1"/>
  <c r="I20" i="1"/>
  <c r="H20" i="1"/>
  <c r="N20" i="1" s="1"/>
  <c r="O20" i="1" s="1"/>
  <c r="M19" i="1"/>
  <c r="L19" i="1"/>
  <c r="K19" i="1"/>
  <c r="J19" i="1"/>
  <c r="I19" i="1"/>
  <c r="H19" i="1"/>
  <c r="M18" i="1"/>
  <c r="L18" i="1"/>
  <c r="K18" i="1"/>
  <c r="J18" i="1"/>
  <c r="I18" i="1"/>
  <c r="H18" i="1"/>
  <c r="N18" i="1" s="1"/>
  <c r="O18" i="1" s="1"/>
  <c r="M17" i="1"/>
  <c r="L17" i="1"/>
  <c r="K17" i="1"/>
  <c r="J17" i="1"/>
  <c r="I17" i="1"/>
  <c r="H17" i="1"/>
  <c r="M16" i="1"/>
  <c r="L16" i="1"/>
  <c r="K16" i="1"/>
  <c r="J16" i="1"/>
  <c r="I16" i="1"/>
  <c r="H16" i="1"/>
  <c r="N16" i="1" s="1"/>
  <c r="O16" i="1" s="1"/>
  <c r="M14" i="1"/>
  <c r="L14" i="1"/>
  <c r="K14" i="1"/>
  <c r="J14" i="1"/>
  <c r="I14" i="1"/>
  <c r="H14" i="1"/>
  <c r="M13" i="1"/>
  <c r="L13" i="1"/>
  <c r="K13" i="1"/>
  <c r="J13" i="1"/>
  <c r="I13" i="1"/>
  <c r="H13" i="1"/>
  <c r="N13" i="1" s="1"/>
  <c r="O13" i="1" s="1"/>
  <c r="M12" i="1"/>
  <c r="L12" i="1"/>
  <c r="K12" i="1"/>
  <c r="J12" i="1"/>
  <c r="I12" i="1"/>
  <c r="H12" i="1"/>
  <c r="N12" i="1" s="1"/>
  <c r="O12" i="1" s="1"/>
  <c r="M11" i="1"/>
  <c r="L11" i="1"/>
  <c r="K11" i="1"/>
  <c r="J11" i="1"/>
  <c r="I11" i="1"/>
  <c r="H11" i="1"/>
  <c r="N11" i="1" s="1"/>
  <c r="O11" i="1" s="1"/>
  <c r="M10" i="1"/>
  <c r="L10" i="1"/>
  <c r="K10" i="1"/>
  <c r="J10" i="1"/>
  <c r="I10" i="1"/>
  <c r="H10" i="1"/>
  <c r="N10" i="1" s="1"/>
  <c r="O10" i="1" s="1"/>
  <c r="M9" i="1"/>
  <c r="L9" i="1"/>
  <c r="K9" i="1"/>
  <c r="J9" i="1"/>
  <c r="I9" i="1"/>
  <c r="H9" i="1"/>
  <c r="N9" i="1" s="1"/>
  <c r="O9" i="1" s="1"/>
  <c r="M8" i="1"/>
  <c r="L8" i="1"/>
  <c r="K8" i="1"/>
  <c r="J8" i="1"/>
  <c r="I8" i="1"/>
  <c r="H8" i="1"/>
  <c r="N8" i="1" s="1"/>
  <c r="O8" i="1" s="1"/>
  <c r="M7" i="1"/>
  <c r="L7" i="1"/>
  <c r="K7" i="1"/>
  <c r="J7" i="1"/>
  <c r="I7" i="1"/>
  <c r="H7" i="1"/>
  <c r="N7" i="1" s="1"/>
  <c r="O7" i="1" s="1"/>
  <c r="M6" i="1"/>
  <c r="L6" i="1"/>
  <c r="K6" i="1"/>
  <c r="J6" i="1"/>
  <c r="I6" i="1"/>
  <c r="H6" i="1"/>
  <c r="N6" i="1" s="1"/>
  <c r="O6" i="1" s="1"/>
  <c r="M5" i="1"/>
  <c r="L5" i="1"/>
  <c r="L242" i="1" s="1"/>
  <c r="K5" i="1"/>
  <c r="K242" i="1" s="1"/>
  <c r="J5" i="1"/>
  <c r="I5" i="1"/>
  <c r="I242" i="1" s="1"/>
  <c r="H5" i="1"/>
  <c r="N5" i="1" s="1"/>
  <c r="O5" i="1" l="1"/>
  <c r="M242" i="1"/>
  <c r="N156" i="1"/>
  <c r="O156" i="1" s="1"/>
  <c r="J242" i="1"/>
  <c r="N14" i="1"/>
  <c r="O14" i="1" s="1"/>
  <c r="N17" i="1"/>
  <c r="O17" i="1" s="1"/>
  <c r="N19" i="1"/>
  <c r="O19" i="1" s="1"/>
  <c r="N21" i="1"/>
  <c r="O21" i="1" s="1"/>
  <c r="N23" i="1"/>
  <c r="O23" i="1" s="1"/>
  <c r="N25" i="1"/>
  <c r="O25" i="1" s="1"/>
  <c r="N29" i="1"/>
  <c r="O29" i="1" s="1"/>
  <c r="N31" i="1"/>
  <c r="O31" i="1" s="1"/>
  <c r="N35" i="1"/>
  <c r="O35" i="1" s="1"/>
  <c r="N38" i="1"/>
  <c r="O38" i="1" s="1"/>
  <c r="N40" i="1"/>
  <c r="O40" i="1" s="1"/>
  <c r="N42" i="1"/>
  <c r="O42" i="1" s="1"/>
  <c r="N44" i="1"/>
  <c r="O44" i="1" s="1"/>
  <c r="N46" i="1"/>
  <c r="O46" i="1" s="1"/>
  <c r="N48" i="1"/>
  <c r="O48" i="1" s="1"/>
  <c r="N50" i="1"/>
  <c r="O50" i="1" s="1"/>
  <c r="N53" i="1"/>
  <c r="O53" i="1" s="1"/>
  <c r="N55" i="1"/>
  <c r="O55" i="1" s="1"/>
  <c r="N57" i="1"/>
  <c r="O57" i="1" s="1"/>
  <c r="N59" i="1"/>
  <c r="O59" i="1" s="1"/>
  <c r="N61" i="1"/>
  <c r="O61" i="1" s="1"/>
  <c r="N63" i="1"/>
  <c r="O63" i="1" s="1"/>
  <c r="N65" i="1"/>
  <c r="O65" i="1" s="1"/>
  <c r="N67" i="1"/>
  <c r="O67" i="1" s="1"/>
  <c r="N69" i="1"/>
  <c r="O69" i="1" s="1"/>
  <c r="N71" i="1"/>
  <c r="O71" i="1" s="1"/>
  <c r="N73" i="1"/>
  <c r="O73" i="1" s="1"/>
  <c r="N76" i="1"/>
  <c r="O76" i="1" s="1"/>
  <c r="N78" i="1"/>
  <c r="O78" i="1" s="1"/>
  <c r="N80" i="1"/>
  <c r="O80" i="1" s="1"/>
  <c r="N82" i="1"/>
  <c r="O82" i="1" s="1"/>
  <c r="N85" i="1"/>
  <c r="O85" i="1" s="1"/>
  <c r="N87" i="1"/>
  <c r="O87" i="1" s="1"/>
  <c r="N89" i="1"/>
  <c r="O89" i="1" s="1"/>
  <c r="N91" i="1"/>
  <c r="O91" i="1" s="1"/>
  <c r="N93" i="1"/>
  <c r="O93" i="1" s="1"/>
  <c r="N96" i="1"/>
  <c r="O96" i="1" s="1"/>
  <c r="N98" i="1"/>
  <c r="O98" i="1" s="1"/>
  <c r="N100" i="1"/>
  <c r="O100" i="1" s="1"/>
  <c r="N102" i="1"/>
  <c r="O102" i="1" s="1"/>
  <c r="N104" i="1"/>
  <c r="O104" i="1" s="1"/>
  <c r="N106" i="1"/>
  <c r="O106" i="1" s="1"/>
  <c r="N109" i="1"/>
  <c r="O109" i="1" s="1"/>
  <c r="N111" i="1"/>
  <c r="O111" i="1" s="1"/>
  <c r="N113" i="1"/>
  <c r="O113" i="1" s="1"/>
  <c r="N116" i="1"/>
  <c r="O116" i="1" s="1"/>
  <c r="N118" i="1"/>
  <c r="O118" i="1" s="1"/>
  <c r="N120" i="1"/>
  <c r="O120" i="1" s="1"/>
  <c r="N122" i="1"/>
  <c r="O122" i="1" s="1"/>
  <c r="N125" i="1"/>
  <c r="O125" i="1" s="1"/>
  <c r="N127" i="1"/>
  <c r="O127" i="1" s="1"/>
  <c r="N129" i="1"/>
  <c r="O129" i="1" s="1"/>
  <c r="N131" i="1"/>
  <c r="O131" i="1" s="1"/>
  <c r="N134" i="1"/>
  <c r="O134" i="1" s="1"/>
  <c r="N136" i="1"/>
  <c r="O136" i="1" s="1"/>
  <c r="N138" i="1"/>
  <c r="O138" i="1" s="1"/>
  <c r="N140" i="1"/>
  <c r="O140" i="1" s="1"/>
  <c r="N142" i="1"/>
  <c r="O142" i="1" s="1"/>
  <c r="N144" i="1"/>
  <c r="O144" i="1" s="1"/>
  <c r="N146" i="1"/>
  <c r="O146" i="1" s="1"/>
  <c r="N148" i="1"/>
  <c r="O148" i="1" s="1"/>
  <c r="N150" i="1"/>
  <c r="O150" i="1" s="1"/>
  <c r="N152" i="1"/>
  <c r="O152" i="1" s="1"/>
  <c r="N154" i="1"/>
  <c r="O154" i="1" s="1"/>
  <c r="O242" i="1" l="1"/>
  <c r="N242" i="1"/>
</calcChain>
</file>

<file path=xl/sharedStrings.xml><?xml version="1.0" encoding="utf-8"?>
<sst xmlns="http://schemas.openxmlformats.org/spreadsheetml/2006/main" count="714" uniqueCount="629">
  <si>
    <t/>
  </si>
  <si>
    <t>№ ПП</t>
  </si>
  <si>
    <t>КОД</t>
  </si>
  <si>
    <t>НАЗВАНИЕ РАБОТЫ</t>
  </si>
  <si>
    <t>ИЗМЕРИТЕЛЬ</t>
  </si>
  <si>
    <t>КОЛ-ВО ЕД. ИЗМ.</t>
  </si>
  <si>
    <t>ПЕРИОДИЧ- НОСТЬ В ГОД</t>
  </si>
  <si>
    <t>ТРУД. РЕСУРСЫ, РУБ.</t>
  </si>
  <si>
    <t>МАТЕР. РЕСУРСЫ, РУБ.</t>
  </si>
  <si>
    <t>МАШ. МЕХ., РУБ.</t>
  </si>
  <si>
    <t>НАКЛ. РАСХОДЫ, РУБ.</t>
  </si>
  <si>
    <t>ПРИБЫЛЬ, РУБ.</t>
  </si>
  <si>
    <t>РАСХОДЫ НА УПРАВ., РУБ.</t>
  </si>
  <si>
    <t>СТОИМОСТЬ, РУБ.</t>
  </si>
  <si>
    <t>НА КВ.М/МЕС</t>
  </si>
  <si>
    <t>Дата изменения:</t>
  </si>
  <si>
    <t>25.11.2024</t>
  </si>
  <si>
    <t>Общая площадь, кв.м:</t>
  </si>
  <si>
    <t>1.1</t>
  </si>
  <si>
    <t>Фундаменты</t>
  </si>
  <si>
    <t>1.1.2.3</t>
  </si>
  <si>
    <t>Осушение электрическими насосами</t>
  </si>
  <si>
    <t>100 м3 воды</t>
  </si>
  <si>
    <t>1.1.7.1</t>
  </si>
  <si>
    <t>Замена неисправных участков электрической сети (скрытая проводка) при числе и сечении жил в проводе  2x1,5 и 2x2,5 кв.м.</t>
  </si>
  <si>
    <t>100 пог.м</t>
  </si>
  <si>
    <t>1.1.7.3</t>
  </si>
  <si>
    <t>Замена ламп накаливания</t>
  </si>
  <si>
    <t>100 шт.</t>
  </si>
  <si>
    <t>1.1.7.4</t>
  </si>
  <si>
    <t>Замена выключателей</t>
  </si>
  <si>
    <t>1.1.7.5</t>
  </si>
  <si>
    <t>Замена патронов</t>
  </si>
  <si>
    <t>1.1.8</t>
  </si>
  <si>
    <t>Восстановление (ремонт)  решеток на  продухах  фундамента</t>
  </si>
  <si>
    <t>100 решеток</t>
  </si>
  <si>
    <t>1.1.9</t>
  </si>
  <si>
    <t>Восстановление (ремонт)  приямков</t>
  </si>
  <si>
    <t>кв.м. приямка</t>
  </si>
  <si>
    <t>1.1.10</t>
  </si>
  <si>
    <t>Восстановление (ремонт) отмостки</t>
  </si>
  <si>
    <t>100 м2 отмостки</t>
  </si>
  <si>
    <t>1.1.12</t>
  </si>
  <si>
    <t>Восстановление (ремонт) вводов инженерных коммуникаций   в подвальные  помещения  через  фундаменты</t>
  </si>
  <si>
    <t>1.1.14</t>
  </si>
  <si>
    <t>Заделка на зиму вентиляционных продухов</t>
  </si>
  <si>
    <t>1 место</t>
  </si>
  <si>
    <t>1.2</t>
  </si>
  <si>
    <t>Кирпичные, каменные и железобетонные стены</t>
  </si>
  <si>
    <t>1.2.4.6</t>
  </si>
  <si>
    <t>Оштукатуривание поверхностей цоколя из камня или бетона цементно-известковым или цементным раствором</t>
  </si>
  <si>
    <t>100 м2 оштукатуриваемой  поверхности</t>
  </si>
  <si>
    <t>1.2.11.1.1</t>
  </si>
  <si>
    <t>Заделка и герметизация швов и стыков в стенах крупноблочных и крупнопанельных домов</t>
  </si>
  <si>
    <t>на 10 м шва (стыка)</t>
  </si>
  <si>
    <t>1.2.11.1.2</t>
  </si>
  <si>
    <t>Заделка и герметизация швов и стыков в местах примыкания балконных плит к стенам</t>
  </si>
  <si>
    <t>1.2.12.5.2</t>
  </si>
  <si>
    <t>Простая масляная окраска ранее окрашенных фасадов с подготовкой и расчисткой старой краски до 35 % с лестниц</t>
  </si>
  <si>
    <t>100 м2 окрашиваемой поверхности</t>
  </si>
  <si>
    <t>1.2.14.1</t>
  </si>
  <si>
    <t>Смена подвесных желобов</t>
  </si>
  <si>
    <t>100 м желоба</t>
  </si>
  <si>
    <t>1.2.17.3.1</t>
  </si>
  <si>
    <t>Простая масляная окраска ранее окрашенных поверхностей</t>
  </si>
  <si>
    <t>100 м2 окрашенной поверхности</t>
  </si>
  <si>
    <t>1.2.17.4.3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</si>
  <si>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</si>
  <si>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1.2.18.1</t>
  </si>
  <si>
    <t>Ремонт внутренней штукатурки потолков отдельными местами</t>
  </si>
  <si>
    <t>100 кв. м</t>
  </si>
  <si>
    <t>1.2.18.9</t>
  </si>
  <si>
    <t>Окрашивание водоэмульсионными составами поверхностей потолков, ранее окрашенных известковой или клеевой краской с расчисткой старой краски более 35%</t>
  </si>
  <si>
    <t>1.2.19</t>
  </si>
  <si>
    <t>Установка групповых металлических почтовых ящиков на 6 отделений</t>
  </si>
  <si>
    <t>1 ящик</t>
  </si>
  <si>
    <t>1.3</t>
  </si>
  <si>
    <t>Деревянные стены</t>
  </si>
  <si>
    <t>1.3.5.9</t>
  </si>
  <si>
    <t>100  м2 оштукатуриваемой  поверхности</t>
  </si>
  <si>
    <t>1.4</t>
  </si>
  <si>
    <t>Балконы, козырьки, лоджии и эркеры</t>
  </si>
  <si>
    <t>1.4.1.2</t>
  </si>
  <si>
    <t>Восстановление козырьков</t>
  </si>
  <si>
    <t>кв.м.</t>
  </si>
  <si>
    <t>1.4.3.1</t>
  </si>
  <si>
    <t>Восстановление (ремонт) вручную гидроизоляции балконов, лоджий (при площади балкона до 5 кв.м) вручную</t>
  </si>
  <si>
    <t>100 кв.м.</t>
  </si>
  <si>
    <t>1.4.3.3</t>
  </si>
  <si>
    <t>Ремонт гидроизоляции козырьков</t>
  </si>
  <si>
    <t>1.5</t>
  </si>
  <si>
    <t>Перекрытия</t>
  </si>
  <si>
    <t>1.5.10</t>
  </si>
  <si>
    <t>Заделка  неплотностей вокруг  трубопроводов  отопления и   горячего  водоснабжения, проходящих через  перекрытия</t>
  </si>
  <si>
    <t>100 отверстий</t>
  </si>
  <si>
    <t>1.6</t>
  </si>
  <si>
    <t>Полы</t>
  </si>
  <si>
    <t>1.6.1.1</t>
  </si>
  <si>
    <t>Заделка выбоин в цементных полах</t>
  </si>
  <si>
    <t>1.6.4.4</t>
  </si>
  <si>
    <t>Ремонт бетонных полов</t>
  </si>
  <si>
    <t>1.8</t>
  </si>
  <si>
    <t>Крыши и кровли</t>
  </si>
  <si>
    <t>1.8.1.3.1</t>
  </si>
  <si>
    <t>Постановка заплат на покрытия из мягкой кровли</t>
  </si>
  <si>
    <t>100 м2 покрытий</t>
  </si>
  <si>
    <t>1.8.2.2.1</t>
  </si>
  <si>
    <t>Смена мягкой кровли в два слоя отдельными местами</t>
  </si>
  <si>
    <t>100 м2 сменяемого покрытия</t>
  </si>
  <si>
    <t>1.8.2.2.4</t>
  </si>
  <si>
    <t>Покрытие старых рулонных кровель готовым составом (мастикой)</t>
  </si>
  <si>
    <t>1.8.2.3.1.1</t>
  </si>
  <si>
    <t>Смена поврежденных листов асбоцементных кровель</t>
  </si>
  <si>
    <t>1.8.7.3</t>
  </si>
  <si>
    <t>Прочистка засоренных вентиляционных каналов</t>
  </si>
  <si>
    <t>10 м канала</t>
  </si>
  <si>
    <t>1.8.9.1</t>
  </si>
  <si>
    <t>Окраска масляными составами ранее окрашенных металлических лестниц и дверей на крышу за 1 раз</t>
  </si>
  <si>
    <t>1.8.10.1</t>
  </si>
  <si>
    <t>Смена покрытия  парапетов или брандмауэров без обделки боковых сторон при ширине покрытия до 1 м</t>
  </si>
  <si>
    <t>100 м</t>
  </si>
  <si>
    <t>1.8.10.4</t>
  </si>
  <si>
    <t>Ремонт металлических парапетных решеток</t>
  </si>
  <si>
    <t>100 м решетки</t>
  </si>
  <si>
    <t>1.8.11.2</t>
  </si>
  <si>
    <t>Ремонт водосточных труб с люлек</t>
  </si>
  <si>
    <t>100 м трубы</t>
  </si>
  <si>
    <t>1.8.11.4</t>
  </si>
  <si>
    <t>Смена воронок</t>
  </si>
  <si>
    <t>1.8.11.6</t>
  </si>
  <si>
    <t>Смена простых отливов</t>
  </si>
  <si>
    <t>1.8.12.1</t>
  </si>
  <si>
    <t>Смена обделок примыканий из листовой стали к каменным стенам</t>
  </si>
  <si>
    <t>1.8.13.3</t>
  </si>
  <si>
    <t>Замена обивки дверей стальным листом</t>
  </si>
  <si>
    <t>100  м2 двери</t>
  </si>
  <si>
    <t>1.9</t>
  </si>
  <si>
    <t>Оконные и дверные проемы</t>
  </si>
  <si>
    <t>1.9.1.1</t>
  </si>
  <si>
    <t>Ремонт дверных полотен со сменой горизонтальных брусков обвязки на два сопряжения</t>
  </si>
  <si>
    <t>100 брусков</t>
  </si>
  <si>
    <t>1.9.1.2</t>
  </si>
  <si>
    <t>Ремонт дверных полотен со сменой вертикальных брусков обвязки на два сопряжения</t>
  </si>
  <si>
    <t>1.9.1.4</t>
  </si>
  <si>
    <t>Ремонт дверных коробок в узких каменных стенах</t>
  </si>
  <si>
    <t>10 коробок</t>
  </si>
  <si>
    <t>1.9.1.8</t>
  </si>
  <si>
    <t>Ремонт порогов шириной 100 мм</t>
  </si>
  <si>
    <t>100 отремонтированных мест</t>
  </si>
  <si>
    <t>1.9.1.10</t>
  </si>
  <si>
    <t>Смена дверных петель при одной сменяемой петле в полотне</t>
  </si>
  <si>
    <t>10 петель</t>
  </si>
  <si>
    <t>1.9.1.12</t>
  </si>
  <si>
    <t>Смена наличников дверных проемов из мягкой древесины с укреплением гвоздями</t>
  </si>
  <si>
    <t>1 п.м. наличника</t>
  </si>
  <si>
    <t>1.9.1.15</t>
  </si>
  <si>
    <t>Укрепление наличников дверных проемов</t>
  </si>
  <si>
    <t>1.9.1.16</t>
  </si>
  <si>
    <t>Смена пружины</t>
  </si>
  <si>
    <t>1 пружина</t>
  </si>
  <si>
    <t>1.9.1.17</t>
  </si>
  <si>
    <t>Смена ручки дверной</t>
  </si>
  <si>
    <t>1 ручка</t>
  </si>
  <si>
    <t>1.9.1.19</t>
  </si>
  <si>
    <t>Смена замков накладных</t>
  </si>
  <si>
    <t>100 замков</t>
  </si>
  <si>
    <t>1.9.1.20</t>
  </si>
  <si>
    <t>Смена замков врезных</t>
  </si>
  <si>
    <t>1.9.1.23</t>
  </si>
  <si>
    <t>Улучшенная масляная окраска дверей</t>
  </si>
  <si>
    <t>1.9.1.26</t>
  </si>
  <si>
    <t>Установка дверей и заслонок в проемах подвальных и чердачных помещений</t>
  </si>
  <si>
    <t>1 полотно</t>
  </si>
  <si>
    <t>1.9.2.8</t>
  </si>
  <si>
    <t>Ремонт форточек</t>
  </si>
  <si>
    <t>10 форточек</t>
  </si>
  <si>
    <t>1.9.2.10</t>
  </si>
  <si>
    <t>Смена оконных петель при одной сменяемой петле в створке</t>
  </si>
  <si>
    <t>1.9.2.23</t>
  </si>
  <si>
    <t>Смена ручки оконной</t>
  </si>
  <si>
    <t>100 ручек</t>
  </si>
  <si>
    <t>1.9.2.25</t>
  </si>
  <si>
    <t>Простая масляная окраска оконных рам</t>
  </si>
  <si>
    <t>1.9.2.30</t>
  </si>
  <si>
    <t>Замена негодных деревянных жалюзей слуховых окон с изготовлением их</t>
  </si>
  <si>
    <t>1 штука</t>
  </si>
  <si>
    <t>1.9.2.31</t>
  </si>
  <si>
    <t>Малый ремонт слухового окна с исправлением обшивки и переплета</t>
  </si>
  <si>
    <t>1.9.2.33</t>
  </si>
  <si>
    <t>Остекление оконным стеклом окон в два переплета открывающихся в одну сторону</t>
  </si>
  <si>
    <t>100 м2 площади проемов по наружному обводу коробок</t>
  </si>
  <si>
    <t>1.9.6.2</t>
  </si>
  <si>
    <t>Восстановление (ремонт) штукатурки откосов каменных, блочных и крупнопанельных домов внутри здания</t>
  </si>
  <si>
    <t>100 кв.м. откосов</t>
  </si>
  <si>
    <t>1.9.6.5</t>
  </si>
  <si>
    <t>Восстановление (ремонт) штукатурки наружных откосов каменных, блочных и крупнопанельных домов</t>
  </si>
  <si>
    <t>100 м2 отремонтированной поверхности</t>
  </si>
  <si>
    <t>1.9.7.1</t>
  </si>
  <si>
    <t>Замена глухих окон на пластиковые с площадью проема до 2 кв.м</t>
  </si>
  <si>
    <t>100 м2 проемов</t>
  </si>
  <si>
    <t>1.10</t>
  </si>
  <si>
    <t>Лестницы</t>
  </si>
  <si>
    <t>1.10.3.1</t>
  </si>
  <si>
    <t>Ремонт металлических лестничных решеток</t>
  </si>
  <si>
    <t>1.10.3.2</t>
  </si>
  <si>
    <t>Укрепление стоек металлических решеток ограждения  лестниц и площадок</t>
  </si>
  <si>
    <t>100 укрепляемых  стоек</t>
  </si>
  <si>
    <t>1.10.4.1.1</t>
  </si>
  <si>
    <t>Смена прямых  частей поручней</t>
  </si>
  <si>
    <t>1.10.4.2</t>
  </si>
  <si>
    <t>Изготовление прямых частей  поручня</t>
  </si>
  <si>
    <t>1.10.5.2</t>
  </si>
  <si>
    <t>Окраска масляными составами ранее окрашенных металлических решеток без рельефа за 2 раза</t>
  </si>
  <si>
    <t xml:space="preserve"> 100 м2 окрашиваемой поверхности</t>
  </si>
  <si>
    <t>1.10.6.2</t>
  </si>
  <si>
    <t>Заделка отбитых мест</t>
  </si>
  <si>
    <t>100 мест</t>
  </si>
  <si>
    <t>1.10.7.1</t>
  </si>
  <si>
    <t>Окрашивание масляными составами торцов лестничных маршей и площадок</t>
  </si>
  <si>
    <t>1.10.7.2</t>
  </si>
  <si>
    <t>Окрашивание масляными составами деревянных поручней</t>
  </si>
  <si>
    <t>100  м поручня</t>
  </si>
  <si>
    <t>2.1</t>
  </si>
  <si>
    <t>Система теплоснабжения</t>
  </si>
  <si>
    <t>2.1.2.1.5</t>
  </si>
  <si>
    <t>Смена отдельных участков трубопроводов из стальных водогазопроводных неоцинкованных труб диаметром 40 мм</t>
  </si>
  <si>
    <t>100 м трубопровода</t>
  </si>
  <si>
    <t>2.1.3.1.2</t>
  </si>
  <si>
    <t>Смена радиаторных блоков, вес радиаторного блока до 80 кг</t>
  </si>
  <si>
    <t>100 радиаторных блоков</t>
  </si>
  <si>
    <t>2.1.3.5.1</t>
  </si>
  <si>
    <t>Прочистка и промывка отопительных приборов радиаторов весом до 80 кг внутри здания</t>
  </si>
  <si>
    <t>100 приборов</t>
  </si>
  <si>
    <t>2.1.5.3.3</t>
  </si>
  <si>
    <t>Восстановление разрушенной тепловой изоляции минераловатными матами</t>
  </si>
  <si>
    <t>100 м2 восстановленного участка</t>
  </si>
  <si>
    <t>2.1.6.1</t>
  </si>
  <si>
    <t>Ремонт прибора учета</t>
  </si>
  <si>
    <t>прибор</t>
  </si>
  <si>
    <t>2.1.6.2</t>
  </si>
  <si>
    <t>Замена прибора учета</t>
  </si>
  <si>
    <t>2.1.8.4.1</t>
  </si>
  <si>
    <t>Смена параллельной задвижки,  диаметром до 100 мм</t>
  </si>
  <si>
    <t>100 задвижек</t>
  </si>
  <si>
    <t>2.1.8.8.1</t>
  </si>
  <si>
    <t>Смена вентиля диаметром до 25 мм</t>
  </si>
  <si>
    <t>100 вентилей</t>
  </si>
  <si>
    <t>2.1.8.9.1</t>
  </si>
  <si>
    <t>Установка кранов для спуска воздуха из системы, диаметр крана 15-20 мм</t>
  </si>
  <si>
    <t>100 кранов</t>
  </si>
  <si>
    <t>2.2</t>
  </si>
  <si>
    <t>Системы холодного и горячего водоснабжения</t>
  </si>
  <si>
    <t>2.2.1.1.2</t>
  </si>
  <si>
    <t>Смена отдельных участков трубопроводов   водоснабжения из стальных водогазопроводных оцинкованных труб диаметром  20 мм</t>
  </si>
  <si>
    <t>100 м трубопроводов</t>
  </si>
  <si>
    <t>2.2.1.1.4</t>
  </si>
  <si>
    <t>Смена отдельных участков трубопроводов водоснабжения из стальных водогазопроводных оцинкованных труб диаметром 32 мм</t>
  </si>
  <si>
    <t>2.2.1.6.1</t>
  </si>
  <si>
    <t>Временная заделка свищей и трещин на внутренних трубопроводах и стояках при диаметре трубопровода до 50 мм</t>
  </si>
  <si>
    <t>2.2.1.7.1</t>
  </si>
  <si>
    <t>Смена сгонов у трубопроводов диаметром до 20 мм</t>
  </si>
  <si>
    <t>100 сгонов</t>
  </si>
  <si>
    <t>2.2.1.8.1</t>
  </si>
  <si>
    <t>Уплотнение сгонов с применением льняной пряди или асбестового шнура (без разборки сгонов) диаметром до 20 мм</t>
  </si>
  <si>
    <t>1 сгон</t>
  </si>
  <si>
    <t>2.2.2.1.6</t>
  </si>
  <si>
    <t>Обслуживание преобразователя давления</t>
  </si>
  <si>
    <t>1  преобразователь давления</t>
  </si>
  <si>
    <t>2.2.2.1.7</t>
  </si>
  <si>
    <t>Обслуживание термопреобразователя</t>
  </si>
  <si>
    <t>1  термопреобразователь</t>
  </si>
  <si>
    <t>2.2.2.1.8</t>
  </si>
  <si>
    <t>Обслуживание преобразователя расхода до 50 мм</t>
  </si>
  <si>
    <t>1 преобразователь расхода</t>
  </si>
  <si>
    <t>2.2.2.1.9</t>
  </si>
  <si>
    <t>Обслуживание преобразователя расхода от 50 до  100 мм</t>
  </si>
  <si>
    <t>2.2.2.2.2</t>
  </si>
  <si>
    <t>Замена прибора учета воды без фильтра</t>
  </si>
  <si>
    <t>Счетчик воды</t>
  </si>
  <si>
    <t>2.2.4</t>
  </si>
  <si>
    <t>Теплоизоляция сетей  горячего  водоснабжения</t>
  </si>
  <si>
    <t>100 м2 утепленного участка</t>
  </si>
  <si>
    <t>2.2.6.1</t>
  </si>
  <si>
    <t>Смена вентилей и клапанов обратных муфтовых диаметром до 20 мм</t>
  </si>
  <si>
    <t>2.2.6.5</t>
  </si>
  <si>
    <t>Смена задвижек диаметром до 100 мм</t>
  </si>
  <si>
    <t>2.3</t>
  </si>
  <si>
    <t>Система водоотведения</t>
  </si>
  <si>
    <t>2.3.1.2</t>
  </si>
  <si>
    <t>Смена горизонтальных участков трубопроводов канализации из полиэтиленовых труб высокой плотности диаметром 100 мм</t>
  </si>
  <si>
    <t>2.3.1.4</t>
  </si>
  <si>
    <t>Смена вертикальных участков трубопроводов канализации из полиэтиленовых труб высокой плотности диаметром 100 мм</t>
  </si>
  <si>
    <t>2.3.3.3.3</t>
  </si>
  <si>
    <t>Подчеканка раструбов  чугунных  канализационных труб диаметром до 100 мм</t>
  </si>
  <si>
    <t>100  раструбов</t>
  </si>
  <si>
    <t>2.3.4</t>
  </si>
  <si>
    <t>Устранение засоров внутренних канализационных трубопроводов</t>
  </si>
  <si>
    <t>2.3.5</t>
  </si>
  <si>
    <t>Заделка стыков соединений стояков внутренних водостоков</t>
  </si>
  <si>
    <t>100 соединений</t>
  </si>
  <si>
    <t>2.4</t>
  </si>
  <si>
    <t>Система газоснабжения</t>
  </si>
  <si>
    <t>2.4.1.1.1</t>
  </si>
  <si>
    <t>Техническое обслуживание внутридомовых газопроводов диаметром до 25 мм</t>
  </si>
  <si>
    <t>100 пог. м.</t>
  </si>
  <si>
    <t>2.4.1.1.2</t>
  </si>
  <si>
    <t>Техническое обслуживание внутридомовых газопроводов диаметром 25-50 мм</t>
  </si>
  <si>
    <t>2.4.1.5</t>
  </si>
  <si>
    <t>Проверка работоспособности и смазка отключающих устройств</t>
  </si>
  <si>
    <t>1 устройство</t>
  </si>
  <si>
    <t>2.4.2.3</t>
  </si>
  <si>
    <t>Визуальная проверка (осмотр) газового оборудования</t>
  </si>
  <si>
    <t>1 оборудование</t>
  </si>
  <si>
    <t>2.4.2.4</t>
  </si>
  <si>
    <t>Проверка герметичности соединений и отключающих устройств</t>
  </si>
  <si>
    <t>1 соединение</t>
  </si>
  <si>
    <t>2.4.2.9.1</t>
  </si>
  <si>
    <t>Проверка герметичности внутридомового газопровода и технологических устройств на нем при количестве приборов на одном стояке до 5 шт.</t>
  </si>
  <si>
    <t>стояк</t>
  </si>
  <si>
    <t>2.4.2.9.2</t>
  </si>
  <si>
    <t>Проверка герметичности внутридомового газопровода и технологических устройств на нем при количестве приборов на одном стояке 6-10 шт.</t>
  </si>
  <si>
    <t>2.4.2.9.3</t>
  </si>
  <si>
    <t>Проверка герметичности внутридомового газопровода и технологических устройств на нем при количестве приборов на одном стояке 11-15 шт.</t>
  </si>
  <si>
    <t>2.4.2.9.4</t>
  </si>
  <si>
    <t>Проверка герметичности внутридомового газопровода и технологических устройств на нем при количестве приборов на одном стояке свыше 15 шт.</t>
  </si>
  <si>
    <t>2.5</t>
  </si>
  <si>
    <t>Внутридомовое электро-, радио- и телеоборудование</t>
  </si>
  <si>
    <t>2.5.1.1</t>
  </si>
  <si>
    <t>Замена пакетных переключателей вводно-распределительных устройств и шкафов</t>
  </si>
  <si>
    <t>1 переключатель</t>
  </si>
  <si>
    <t>2.5.1.4</t>
  </si>
  <si>
    <t>Замена предохранителя</t>
  </si>
  <si>
    <t>1 предохранитель</t>
  </si>
  <si>
    <t>2.5.4</t>
  </si>
  <si>
    <t>Ремонт, замена  внутридомовых электрических сетей</t>
  </si>
  <si>
    <t>1000 пог.м.</t>
  </si>
  <si>
    <t>2.5.5.2</t>
  </si>
  <si>
    <t>Ремонт щитков</t>
  </si>
  <si>
    <t>1 щит</t>
  </si>
  <si>
    <t>2.5.6.9</t>
  </si>
  <si>
    <t>Обслуживание трехфазных счетчиков электроэнергии</t>
  </si>
  <si>
    <t>100 счетчиков</t>
  </si>
  <si>
    <t>2.5.7.6</t>
  </si>
  <si>
    <t>Замена лампы накаливания на энергосберегательную</t>
  </si>
  <si>
    <t>1 лампа</t>
  </si>
  <si>
    <t>2.5.7.8</t>
  </si>
  <si>
    <t>Замена светильника на светильник светодиодный с датчиком движения</t>
  </si>
  <si>
    <t>1 светильник</t>
  </si>
  <si>
    <t>2.6</t>
  </si>
  <si>
    <t>Подготовка многоквартирного дома к сезонной эксплуатации, проведение технических осмотров</t>
  </si>
  <si>
    <t>2.6.1.1</t>
  </si>
  <si>
    <t>Укрепление водосточных труб, колен, воронок с лестниц или подмостей</t>
  </si>
  <si>
    <t>1 ухват</t>
  </si>
  <si>
    <t>2.6.3.5</t>
  </si>
  <si>
    <t>Смена стекол на штапиках без замазки</t>
  </si>
  <si>
    <t>100 м фальца</t>
  </si>
  <si>
    <t>2.6.8.1</t>
  </si>
  <si>
    <t>Осмотр территории вокруг здания и фундамента</t>
  </si>
  <si>
    <t>1000 кв.м. общей площади</t>
  </si>
  <si>
    <t>2.6.8.2</t>
  </si>
  <si>
    <t>Осмотр кирпичных и железобетонных стен, фасадов</t>
  </si>
  <si>
    <t>2.6.8.6</t>
  </si>
  <si>
    <t>Осмотр железобетонных перекрытий</t>
  </si>
  <si>
    <t>2.6.8.7</t>
  </si>
  <si>
    <t>Осмотр железобетонных покрытий</t>
  </si>
  <si>
    <t>1000 кв.м. полов</t>
  </si>
  <si>
    <t>2.6.8.8</t>
  </si>
  <si>
    <t>Осмотр внутренней отделки стен</t>
  </si>
  <si>
    <t>2.6.8.9</t>
  </si>
  <si>
    <t>Осмотр заполнения дверных и оконных проемов</t>
  </si>
  <si>
    <t>2.6.9.1</t>
  </si>
  <si>
    <t>Осмотр всех элементов стальных кровель, водостоков</t>
  </si>
  <si>
    <t>1000 кв.м. кровли</t>
  </si>
  <si>
    <t>2.6.9.2</t>
  </si>
  <si>
    <t>Осмотр всех элементов рулонных кровель, водостоков</t>
  </si>
  <si>
    <t>2.6.9.3</t>
  </si>
  <si>
    <t>Осмотр всех элементов кровель из штучных материалов, водостоков</t>
  </si>
  <si>
    <t>2.6.11.1</t>
  </si>
  <si>
    <t>Осмотр водопровода, канализации и горячего водоснабжения</t>
  </si>
  <si>
    <t>100 квартир</t>
  </si>
  <si>
    <t>2.6.11.4</t>
  </si>
  <si>
    <t>Проверка исправности  канализационных  вытяжек</t>
  </si>
  <si>
    <t>2.6.12.1</t>
  </si>
  <si>
    <t>Проверка наличия тяги в  дымовентиляционных каналах</t>
  </si>
  <si>
    <t>2.6.12.2</t>
  </si>
  <si>
    <t>Проведение технических осмотров и устранение незначительных неисправностей в системе вентиляции</t>
  </si>
  <si>
    <t>2.6.13.1</t>
  </si>
  <si>
    <t>Осмотр  электросети, арматуры, электрооборудования на лестничных клетках</t>
  </si>
  <si>
    <t>100 лестничных площадок</t>
  </si>
  <si>
    <t>2.6.13.3</t>
  </si>
  <si>
    <t>Проверка изоляции электропроводки и ее укрепление</t>
  </si>
  <si>
    <t>2.6.13.5</t>
  </si>
  <si>
    <t>Замеры сопротивления изоляции проводов</t>
  </si>
  <si>
    <t xml:space="preserve">измерение 1         </t>
  </si>
  <si>
    <t>2.6.14.1.1</t>
  </si>
  <si>
    <t>Осмотр внутриквартирных устройств системы центрального отопления</t>
  </si>
  <si>
    <t>2.6.14.1.2</t>
  </si>
  <si>
    <t>Осмотр устройства системы центрального отопления в чердачных и подвальных помещениях</t>
  </si>
  <si>
    <t>1000 м2 осматриваемых помещений</t>
  </si>
  <si>
    <t>2.6.14.2</t>
  </si>
  <si>
    <t>Регулировка и наладка систем отопления</t>
  </si>
  <si>
    <t>1 здание</t>
  </si>
  <si>
    <t>2.6.14.3.2</t>
  </si>
  <si>
    <t>Рабочая проверка системы в целом при диаметре трубопровода до 50 мм</t>
  </si>
  <si>
    <t>2.6.14.4.2</t>
  </si>
  <si>
    <t>Промывка трубопроводов системы центрального отопления до 100 мм</t>
  </si>
  <si>
    <t>10 м трубопровода (100 м3 здания)</t>
  </si>
  <si>
    <t>2.6.14.5.3</t>
  </si>
  <si>
    <t>Вывертывание и ввертывание радиаторной пробки</t>
  </si>
  <si>
    <t>100 пробок</t>
  </si>
  <si>
    <t>2.6.14.5.5.1</t>
  </si>
  <si>
    <t>Ликвидация воздушных пробок в стояке системы отопления</t>
  </si>
  <si>
    <t>100 стояков</t>
  </si>
  <si>
    <t>2.6.14.5.5.2</t>
  </si>
  <si>
    <t>Ликвидация воздушных пробок в радиаторном блоке</t>
  </si>
  <si>
    <t>2.6.14.5.6</t>
  </si>
  <si>
    <t>Ремонт кранов регулировки у радиаторных блоков</t>
  </si>
  <si>
    <t>2.6.14.5.7.1</t>
  </si>
  <si>
    <t>Мелкий ремонт изоляции трубопроводов при диаметре 50 мм</t>
  </si>
  <si>
    <t>2.6.15.1.1</t>
  </si>
  <si>
    <t>Визуальный осмотр узла учета и проверка наличия и нарушения пломб (прибор учета воды диаметром 25-40 мм)</t>
  </si>
  <si>
    <t>1 прибор учета</t>
  </si>
  <si>
    <t>2.6.15.1.2</t>
  </si>
  <si>
    <t>Снятие и запись показаний с вычислителя в журнал (прибор учета воды диаметром 25-40 мм)</t>
  </si>
  <si>
    <t>2.6.15.1.7</t>
  </si>
  <si>
    <t>При отказе или неисправной работе прибора учета воды диаметром 25-40 мм - поиск неисправностей</t>
  </si>
  <si>
    <t>2.6.15.1.8</t>
  </si>
  <si>
    <t>Проверка работоспособности водозапорной арматуры приборов учета воды диаметром 25-40 мм</t>
  </si>
  <si>
    <t>2.6.15.2.1</t>
  </si>
  <si>
    <t>Визуальный осмотр прибора учета воды диаметром 50-250 мм и проверка наличия и нарушения пломб</t>
  </si>
  <si>
    <t>2.6.15.2.4</t>
  </si>
  <si>
    <t>Проверка работоспособности запорной арматуры и очистка фильтров приборов учета воды диаметром 50-250 мм</t>
  </si>
  <si>
    <t>1 фильтр</t>
  </si>
  <si>
    <t>2.6.15.3.8.4</t>
  </si>
  <si>
    <t>Съем данных с тепловычислителя с помощью переносного компьютера, адаптера (выборочная метрологическая поверка теплосчетчиков диаметром 25-40 мм)</t>
  </si>
  <si>
    <t>1 узел учета</t>
  </si>
  <si>
    <t>2.6.15.4.8.1</t>
  </si>
  <si>
    <t>Проверка работоспособности водозапорной арматуры (выборочная метрологическая поверка теплосчетчиков диаметром 50-250 мм)</t>
  </si>
  <si>
    <t>2.6.15.4.8.3</t>
  </si>
  <si>
    <t>Поверка (настройка) тепловычислителя (выборочная метрологическая поверка теплосчетчиков диаметром 50-250 мм)</t>
  </si>
  <si>
    <t>2.6.15.4.8.5</t>
  </si>
  <si>
    <t>Обсчет данных, оформление справок, распечатка архивов данных (выборочная метрологическая поверка теплосчетчиков диаметром 50-250 мм)</t>
  </si>
  <si>
    <t>2.6.15.5.1</t>
  </si>
  <si>
    <t>Снятие (демонтаж) прибора учета тепловой энергии, диаметром до 50 мм</t>
  </si>
  <si>
    <t>1 прибор</t>
  </si>
  <si>
    <t>2.6.15.5.2</t>
  </si>
  <si>
    <t>Установка (монтаж) прибора учета тепловой энергии, диаметром до 50 мм</t>
  </si>
  <si>
    <t>2.7</t>
  </si>
  <si>
    <t>Устранение аварии и выполнение заявок населения</t>
  </si>
  <si>
    <t>2.7.1.2</t>
  </si>
  <si>
    <t>Устранение аварии на внутридомовых инженерных сетях при сроке эксплуатации многоквартирного дома от 11 до 30  лет</t>
  </si>
  <si>
    <t>1000 м2  общей площади жилых помещений, оборудованных газовыми плитами (в год для одной смены)</t>
  </si>
  <si>
    <t>2.7.1.3</t>
  </si>
  <si>
    <t>Устранение аварии на внутридомовых инженерных сетях при сроке эксплуатации многоквартирного дома от 31 до 50 лет</t>
  </si>
  <si>
    <t>2.7.1.4</t>
  </si>
  <si>
    <t>Устранение аварии на внутридомовых инженерных сетях при сроке эксплуатации многоквартирного дома от 51 до 70 лет</t>
  </si>
  <si>
    <t>3.1</t>
  </si>
  <si>
    <t>Работы по санитарному содержанию помещений общего пользования, системы мусороудаления и фасадов</t>
  </si>
  <si>
    <t>3.1.1.1.1.1</t>
  </si>
  <si>
    <t>Подметание лестничных площадок и маршей нижних трех этажей с предварительным их увлажнением (в доме без лифтов и мусоропровода)</t>
  </si>
  <si>
    <t>100 м2 убираемой  площади</t>
  </si>
  <si>
    <t>3.1.1.1.1.2</t>
  </si>
  <si>
    <t>Подметание лестничных площадок и маршей выше третьего этажа с предварительным их увлажнением (в доме без лифтов и мусоропровода)</t>
  </si>
  <si>
    <t>100 м2  убираемой  площади</t>
  </si>
  <si>
    <t>3.1.1.1.2.1</t>
  </si>
  <si>
    <t>Мытье  лестничных площадок и маршей нижних трех этажей (в доме без лифтов и мусоропровода)</t>
  </si>
  <si>
    <t>3.1.1.1.2.2</t>
  </si>
  <si>
    <t>Мытье  лестничных площадок и маршей  выше третьего этажа (в доме без лифтов и мусоропровода)</t>
  </si>
  <si>
    <t>3.1.3.1</t>
  </si>
  <si>
    <t>Протирка пыли  с колпаков  светильников (в подвалах, на чердаках и лестничных клетках)</t>
  </si>
  <si>
    <t>3.1.3.2</t>
  </si>
  <si>
    <t>Протирка пыли  с подоконников в помещениях общего  пользования</t>
  </si>
  <si>
    <t xml:space="preserve">100 м2 подоконников </t>
  </si>
  <si>
    <t>3.1.4.1</t>
  </si>
  <si>
    <t>Мытье и протирка дверей  в помещениях общего пользования</t>
  </si>
  <si>
    <t>100 м2 дверей</t>
  </si>
  <si>
    <t>3.1.4.2</t>
  </si>
  <si>
    <t>Мытье и протирка оконных рам и переплетов в помещениях общего пользования</t>
  </si>
  <si>
    <t>100 м2 оконных рам</t>
  </si>
  <si>
    <t>3.1.4.3</t>
  </si>
  <si>
    <t>Мытье и протирка легкодоступных стекол в окнах  в помещениях общего пользования</t>
  </si>
  <si>
    <t>100 м2 окон</t>
  </si>
  <si>
    <t>3.1.5.2.1</t>
  </si>
  <si>
    <t>Уборка мусора и транспортировкой мусора до 50 м</t>
  </si>
  <si>
    <t>1 м3  мусора</t>
  </si>
  <si>
    <t>3.1.5.3</t>
  </si>
  <si>
    <t>Очистка чердаков  и подвалов от строительного мусора</t>
  </si>
  <si>
    <t>100 кг строительного мусора</t>
  </si>
  <si>
    <t>3.1.9.1</t>
  </si>
  <si>
    <t>Влажная протирка почтовых ящиков (с моющим средством)</t>
  </si>
  <si>
    <t>100 кв.м почтовых ящиков</t>
  </si>
  <si>
    <t>3.1.9.3</t>
  </si>
  <si>
    <t>Влажная протирка оконных решеток  (с моющим средством)</t>
  </si>
  <si>
    <t>100 кв.м решеток</t>
  </si>
  <si>
    <t>3.1.9.5</t>
  </si>
  <si>
    <t>Влажная протирка шкафов для электросчетчиков слаботочных устройств  (с моющим средством)</t>
  </si>
  <si>
    <t>100 кв. м шкафов для электросчетчиков слаботочных устройств</t>
  </si>
  <si>
    <t>3.1.9.7</t>
  </si>
  <si>
    <t>Влажная протирка перил лестниц (с моющим средством)</t>
  </si>
  <si>
    <t>100 кв.м. перил лестниц</t>
  </si>
  <si>
    <t>3.1.9.10</t>
  </si>
  <si>
    <t>Влажная протирка стен (с моющим средством)</t>
  </si>
  <si>
    <t>100 кв. м стен</t>
  </si>
  <si>
    <t>3.1.9.11</t>
  </si>
  <si>
    <t>Влажная протирка отопительных приборов (моющим средством)</t>
  </si>
  <si>
    <t>100 кв. м отопительных приборов</t>
  </si>
  <si>
    <t>3.1.11</t>
  </si>
  <si>
    <t>Обметание пыли с потолков</t>
  </si>
  <si>
    <t>100 кв. м. потолков</t>
  </si>
  <si>
    <t>3.2</t>
  </si>
  <si>
    <t>Уборка земельного участка, входящего в состав общего имущества многоквартирного дома</t>
  </si>
  <si>
    <t>3.2.1.2</t>
  </si>
  <si>
    <t>Подметание в летний период  земельного участка с усовершенствованным покрытием 2 класса</t>
  </si>
  <si>
    <t>1 000 кв.м. территории</t>
  </si>
  <si>
    <t>3.2.3.1.2</t>
  </si>
  <si>
    <t>Уборка газонов сильной засоренности от листьев, сучьев, мусора</t>
  </si>
  <si>
    <t>100 000 кв.м. территории</t>
  </si>
  <si>
    <t>3.2.3.1.3</t>
  </si>
  <si>
    <t>Уборка газонов от случайного мусора</t>
  </si>
  <si>
    <t>100 000 м2</t>
  </si>
  <si>
    <t>3.2.3.1.5</t>
  </si>
  <si>
    <t>Стрижка газонов</t>
  </si>
  <si>
    <t>на 100 кв.м.</t>
  </si>
  <si>
    <t>3.2.3.2.10</t>
  </si>
  <si>
    <t>Очистка опрокидывающихся урн от мусора</t>
  </si>
  <si>
    <t>на 100 урн</t>
  </si>
  <si>
    <t>3.2.4.1</t>
  </si>
  <si>
    <t>Формовочная обрезка деревьев высотой более 5 м</t>
  </si>
  <si>
    <t>100 деревьев</t>
  </si>
  <si>
    <t>3.2.5.1</t>
  </si>
  <si>
    <t>Уборка детских и спортивных площадок</t>
  </si>
  <si>
    <t>1000 кв.м.</t>
  </si>
  <si>
    <t>3.2.5.2.1</t>
  </si>
  <si>
    <t>Окраска скамьи без спинки с металлическими опорами</t>
  </si>
  <si>
    <t>скамья</t>
  </si>
  <si>
    <t>3.2.5.2.4</t>
  </si>
  <si>
    <t>Окраска качелей-маятника</t>
  </si>
  <si>
    <t>качели</t>
  </si>
  <si>
    <t>3.2.5.2.5</t>
  </si>
  <si>
    <t>Окраска качелей-балансира</t>
  </si>
  <si>
    <t>3.2.5.2.6</t>
  </si>
  <si>
    <t>Окраска поверхности песочницы</t>
  </si>
  <si>
    <t>песочница</t>
  </si>
  <si>
    <t>3.2.5.2.12</t>
  </si>
  <si>
    <t>Окраска металлических ограждений спортивных площадок</t>
  </si>
  <si>
    <t xml:space="preserve">пог.м. </t>
  </si>
  <si>
    <t>3.2.5.3.3</t>
  </si>
  <si>
    <t>Ремонт качелей-маятника</t>
  </si>
  <si>
    <t>3.2.5.3.4</t>
  </si>
  <si>
    <t>Ремонт качелей-балансира</t>
  </si>
  <si>
    <t>3.2.5.3.5</t>
  </si>
  <si>
    <t>Ремонт песочницы</t>
  </si>
  <si>
    <t>3.2.5.4</t>
  </si>
  <si>
    <t>Заполнение песочницы песком</t>
  </si>
  <si>
    <t>3.2.5.5</t>
  </si>
  <si>
    <t>Осмотр детских и спортивных площадок</t>
  </si>
  <si>
    <t>1 модуль</t>
  </si>
  <si>
    <t>3.2.6.2</t>
  </si>
  <si>
    <t>Сдвижка и подметание снега при отсутствии снегопада на придомовой территории с усовершенствованным покрытием 2 класса</t>
  </si>
  <si>
    <t>10 000 кв.м. территории</t>
  </si>
  <si>
    <t>3.2.6.5</t>
  </si>
  <si>
    <t>Сдвижка и подметание снега при отсутствии снегопада на придомовой территории с неусовершенствованным покрытием 2 класса</t>
  </si>
  <si>
    <t>3.2.7.2</t>
  </si>
  <si>
    <t>Сдвижка и подметание снега при снегопаде на придомовой территории с усовершенствованным покрытием 2 класса</t>
  </si>
  <si>
    <t>3.2.8.2</t>
  </si>
  <si>
    <t>Очистка территории с усовершенствованным покрытием 2 класса от наледи без обработки противогололедными реагентами</t>
  </si>
  <si>
    <t>3.2.8.9</t>
  </si>
  <si>
    <t>Посыпка территории II класса</t>
  </si>
  <si>
    <t>3.2.8.13</t>
  </si>
  <si>
    <t>Очистка от наледи и льда водосточных труб</t>
  </si>
  <si>
    <t>1 шт</t>
  </si>
  <si>
    <t>3.2.9.2</t>
  </si>
  <si>
    <t>Очистка кровли от снега, сбивание сосулек (при толщине слоя до 20 см)</t>
  </si>
  <si>
    <t>100 кв.м. кровли</t>
  </si>
  <si>
    <t>3.2.9.4</t>
  </si>
  <si>
    <t>Очистка кровли от мусора, листьев</t>
  </si>
  <si>
    <t>100 кв.м кровли</t>
  </si>
  <si>
    <t>3.2.10.4</t>
  </si>
  <si>
    <t>Сдвигание свежевыпавшего снега толщиной слоя свыше 2 см в валы или кучи трактором</t>
  </si>
  <si>
    <t>1000 м2</t>
  </si>
  <si>
    <t>3.2.11</t>
  </si>
  <si>
    <t>Уборка крыльца и площадки перед входом в подъезд (в холодный период года)</t>
  </si>
  <si>
    <t>100 кв.м</t>
  </si>
  <si>
    <t>3.2.12</t>
  </si>
  <si>
    <t>Уборка крыльца и площадки перед входом в подъезд (в теплый период года)</t>
  </si>
  <si>
    <t>3.2.13</t>
  </si>
  <si>
    <t>Очистка металлической решетки и приямка (в теплый период)</t>
  </si>
  <si>
    <t>1 приямок</t>
  </si>
  <si>
    <t>3.2.14</t>
  </si>
  <si>
    <t>Очистка контейнерной площадки в холодный период</t>
  </si>
  <si>
    <t>3.2.15</t>
  </si>
  <si>
    <t>Уборка мусора на  контейнерных  площадках</t>
  </si>
  <si>
    <t>3.2.17</t>
  </si>
  <si>
    <t>Прочистка водоприемной воронки внутреннего водостока</t>
  </si>
  <si>
    <t>1 воронка</t>
  </si>
  <si>
    <t>3.3</t>
  </si>
  <si>
    <t>Ремонт и установка объектов благоустройства придомовой территории</t>
  </si>
  <si>
    <t>3.3.1.1</t>
  </si>
  <si>
    <t>Текущий ремонт ограждений газона</t>
  </si>
  <si>
    <t>пог.м.</t>
  </si>
  <si>
    <t>3.3.1.2</t>
  </si>
  <si>
    <t>Покраска ограждений газона</t>
  </si>
  <si>
    <t>3.3.1.5</t>
  </si>
  <si>
    <t>Ремонт асфальтобетонного покрытия проездов</t>
  </si>
  <si>
    <t>100 м2</t>
  </si>
  <si>
    <t>3.3.1.6</t>
  </si>
  <si>
    <t>Ремонт тротуаров</t>
  </si>
  <si>
    <t>10 м2</t>
  </si>
  <si>
    <t>3.3.2.3</t>
  </si>
  <si>
    <t>Установка скамьи с металлическими опорами</t>
  </si>
  <si>
    <t>3.3.2.12</t>
  </si>
  <si>
    <t>Установка металлических ограждений спортивных площадок</t>
  </si>
  <si>
    <t>3.4</t>
  </si>
  <si>
    <t>Прочие работы</t>
  </si>
  <si>
    <t>3.4.1.3</t>
  </si>
  <si>
    <t>Дератизация чердаков и подвалов с применением готовой приманки типа "Шторм" -  антикоагулянта II поколения</t>
  </si>
  <si>
    <t>1000 м2  обрабатываемых  помещений</t>
  </si>
  <si>
    <t>3.4.2</t>
  </si>
  <si>
    <t>Дезинсекция  подвалов</t>
  </si>
  <si>
    <t>3.5</t>
  </si>
  <si>
    <t>Услуги вывоза бытовых отходов</t>
  </si>
  <si>
    <t>3.5.2.1.1</t>
  </si>
  <si>
    <t>Погрузка-разгрузка бункеровоза</t>
  </si>
  <si>
    <t>100 куб. м</t>
  </si>
  <si>
    <t>3.5.2.1.2</t>
  </si>
  <si>
    <t>Транспортировка КГМ на бункеровозе</t>
  </si>
  <si>
    <t>100 куб.м/км</t>
  </si>
  <si>
    <t>ИТОГО:</t>
  </si>
  <si>
    <t xml:space="preserve">1.11 МКД квартирного типа с газом, уборкой МОП и придомовой территории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</si>
</sst>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.00"/>
  </numFmts>
  <fonts count="11" x14ac:knownFonts="1">
    <font>
      <sz val="11"/>
      <color theme="1"/>
      <name val="Calibri"/>
      <family val="2"/>
      <scheme val="minor"/>
    </font>
    <font>
      <sz val="9"/>
      <name val="Calibri"/>
    </font>
    <font>
      <sz val="10"/>
      <name val="Calibri"/>
    </font>
    <font>
      <sz val="12"/>
      <name val="Calibri"/>
    </font>
    <font>
      <b/>
      <sz val="9"/>
      <color rgb="FFFFFFFF"/>
      <name val="Calibri"/>
    </font>
    <font>
      <b/>
      <sz val="18"/>
      <color rgb="FF000099"/>
      <name val="Calibri"/>
    </font>
    <font>
      <i/>
      <sz val="11"/>
      <name val="Calibri"/>
    </font>
    <font>
      <b/>
      <sz val="11"/>
      <name val="Calibri"/>
    </font>
    <font>
      <b/>
      <sz val="11"/>
      <color rgb="FFFFFFFF"/>
      <name val="Calibri"/>
    </font>
    <font>
      <b/>
      <sz val="10"/>
      <color rgb="FFFFFFFF"/>
      <name val="Calibri"/>
    </font>
    <font>
      <b/>
      <sz val="11"/>
      <color theme="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546E7A"/>
      </patternFill>
    </fill>
    <fill>
      <patternFill patternType="solid">
        <fgColor rgb="FFDCE6F1"/>
      </patternFill>
    </fill>
    <fill>
      <patternFill patternType="solid">
        <fgColor rgb="FFF9F7ED"/>
      </patternFill>
    </fill>
    <fill>
      <patternFill patternType="solid">
        <fgColor rgb="FFF5F2E0"/>
      </patternFill>
    </fill>
    <fill>
      <patternFill patternType="solid">
        <fgColor rgb="FFEBF1DE"/>
      </patternFill>
    </fill>
  </fills>
  <borders count="12">
    <border>
      <left/>
      <right/>
      <top/>
      <bottom/>
      <diagonal/>
    </border>
    <border>
      <left style="thick">
        <color rgb="FF000000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top" wrapText="1" indent="1"/>
    </xf>
    <xf numFmtId="49" fontId="2" fillId="0" borderId="0" xfId="0" applyNumberFormat="1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indent="1"/>
    </xf>
    <xf numFmtId="164" fontId="2" fillId="0" borderId="0" xfId="0" applyNumberFormat="1" applyFont="1" applyAlignment="1">
      <alignment horizontal="right" vertical="top" indent="1"/>
    </xf>
    <xf numFmtId="2" fontId="2" fillId="0" borderId="0" xfId="0" applyNumberFormat="1" applyFont="1" applyAlignment="1">
      <alignment horizontal="right" vertical="top" indent="1"/>
    </xf>
    <xf numFmtId="0" fontId="4" fillId="0" borderId="0" xfId="0" applyFont="1" applyAlignment="1">
      <alignment horizontal="center" vertical="center" wrapText="1" indent="1"/>
    </xf>
    <xf numFmtId="0" fontId="4" fillId="2" borderId="1" xfId="0" applyFont="1" applyFill="1" applyBorder="1" applyAlignment="1">
      <alignment horizontal="center" vertical="center" wrapText="1" indent="1"/>
    </xf>
    <xf numFmtId="49" fontId="4" fillId="2" borderId="2" xfId="0" applyNumberFormat="1" applyFont="1" applyFill="1" applyBorder="1" applyAlignment="1">
      <alignment horizontal="center" vertical="center" wrapText="1" indent="1"/>
    </xf>
    <xf numFmtId="0" fontId="4" fillId="2" borderId="2" xfId="0" applyFont="1" applyFill="1" applyBorder="1" applyAlignment="1">
      <alignment horizontal="center" vertical="center" wrapText="1" indent="1"/>
    </xf>
    <xf numFmtId="164" fontId="4" fillId="2" borderId="2" xfId="0" applyNumberFormat="1" applyFont="1" applyFill="1" applyBorder="1" applyAlignment="1">
      <alignment horizontal="center" vertical="center" wrapText="1" indent="1"/>
    </xf>
    <xf numFmtId="2" fontId="4" fillId="2" borderId="3" xfId="0" applyNumberFormat="1" applyFont="1" applyFill="1" applyBorder="1" applyAlignment="1">
      <alignment horizontal="center" vertical="center" wrapText="1" indent="1"/>
    </xf>
    <xf numFmtId="0" fontId="6" fillId="0" borderId="6" xfId="0" applyFont="1" applyBorder="1" applyAlignment="1">
      <alignment horizontal="left" indent="1"/>
    </xf>
    <xf numFmtId="2" fontId="6" fillId="0" borderId="8" xfId="0" applyNumberFormat="1" applyFont="1" applyBorder="1" applyAlignment="1">
      <alignment horizontal="left" indent="1"/>
    </xf>
    <xf numFmtId="0" fontId="7" fillId="0" borderId="0" xfId="0" applyFont="1"/>
    <xf numFmtId="0" fontId="7" fillId="3" borderId="9" xfId="0" applyFont="1" applyFill="1" applyBorder="1" applyAlignment="1">
      <alignment horizontal="center" vertical="top" wrapText="1" indent="1"/>
    </xf>
    <xf numFmtId="49" fontId="7" fillId="3" borderId="10" xfId="0" applyNumberFormat="1" applyFont="1" applyFill="1" applyBorder="1" applyAlignment="1">
      <alignment horizontal="left" vertical="top" wrapText="1" indent="1"/>
    </xf>
    <xf numFmtId="0" fontId="1" fillId="0" borderId="9" xfId="0" applyFont="1" applyBorder="1" applyAlignment="1">
      <alignment horizontal="center" vertical="top" wrapText="1" indent="1"/>
    </xf>
    <xf numFmtId="49" fontId="2" fillId="0" borderId="10" xfId="0" applyNumberFormat="1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/>
    </xf>
    <xf numFmtId="0" fontId="3" fillId="4" borderId="10" xfId="0" applyFont="1" applyFill="1" applyBorder="1" applyAlignment="1">
      <alignment horizontal="right" vertical="top" indent="1"/>
    </xf>
    <xf numFmtId="0" fontId="3" fillId="5" borderId="10" xfId="0" applyFont="1" applyFill="1" applyBorder="1" applyAlignment="1">
      <alignment horizontal="right" vertical="top" indent="1"/>
    </xf>
    <xf numFmtId="164" fontId="2" fillId="0" borderId="10" xfId="0" applyNumberFormat="1" applyFont="1" applyBorder="1" applyAlignment="1">
      <alignment horizontal="right" vertical="top" indent="1"/>
    </xf>
    <xf numFmtId="164" fontId="2" fillId="6" borderId="10" xfId="0" applyNumberFormat="1" applyFont="1" applyFill="1" applyBorder="1" applyAlignment="1">
      <alignment horizontal="right" vertical="top" indent="1"/>
    </xf>
    <xf numFmtId="2" fontId="2" fillId="0" borderId="11" xfId="0" applyNumberFormat="1" applyFont="1" applyBorder="1" applyAlignment="1">
      <alignment horizontal="right" vertical="top" indent="1"/>
    </xf>
    <xf numFmtId="0" fontId="8" fillId="0" borderId="0" xfId="0" applyFont="1" applyAlignment="1">
      <alignment horizontal="right" vertical="center" wrapText="1" indent="1"/>
    </xf>
    <xf numFmtId="164" fontId="8" fillId="2" borderId="2" xfId="0" applyNumberFormat="1" applyFont="1" applyFill="1" applyBorder="1" applyAlignment="1">
      <alignment horizontal="right" vertical="center" wrapText="1" indent="1"/>
    </xf>
    <xf numFmtId="0" fontId="5" fillId="0" borderId="4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horizontal="right" indent="1"/>
    </xf>
    <xf numFmtId="164" fontId="6" fillId="0" borderId="7" xfId="0" applyNumberFormat="1" applyFont="1" applyBorder="1" applyAlignment="1">
      <alignment horizontal="right" indent="1"/>
    </xf>
    <xf numFmtId="0" fontId="7" fillId="3" borderId="1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 vertical="center" wrapText="1" indent="1"/>
    </xf>
    <xf numFmtId="2" fontId="10" fillId="2" borderId="3" xfId="0" applyNumberFormat="1" applyFont="1" applyFill="1" applyBorder="1" applyAlignment="1">
      <alignment horizontal="righ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2"/>
  <sheetViews>
    <sheetView tabSelected="1" topLeftCell="I1" workbookViewId="0">
      <pane ySplit="1" topLeftCell="A236" activePane="bottomLeft" state="frozen"/>
      <selection pane="bottomLeft" activeCell="P247" sqref="P247"/>
    </sheetView>
  </sheetViews>
  <sheetFormatPr defaultRowHeight="15.6" x14ac:dyDescent="0.3"/>
  <cols>
    <col min="1" max="1" width="3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3" width="14" style="5" customWidth="1"/>
    <col min="14" max="14" width="16" style="5" customWidth="1"/>
    <col min="15" max="15" width="12" style="6" customWidth="1"/>
  </cols>
  <sheetData>
    <row r="1" spans="1:15" s="7" customFormat="1" ht="40.049999999999997" customHeight="1" x14ac:dyDescent="0.3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2" t="s">
        <v>14</v>
      </c>
    </row>
    <row r="2" spans="1:15" ht="14.4" x14ac:dyDescent="0.3">
      <c r="A2" t="s">
        <v>0</v>
      </c>
      <c r="B2" s="28" t="s">
        <v>628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 t="s">
        <v>15</v>
      </c>
      <c r="N2" s="29"/>
      <c r="O2" s="13" t="s">
        <v>16</v>
      </c>
    </row>
    <row r="3" spans="1:15" ht="14.4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 t="s">
        <v>17</v>
      </c>
      <c r="N3" s="30"/>
      <c r="O3" s="14">
        <v>326771.09999999998</v>
      </c>
    </row>
    <row r="4" spans="1:15" s="15" customFormat="1" ht="14.4" x14ac:dyDescent="0.3">
      <c r="B4" s="16"/>
      <c r="C4" s="17" t="s">
        <v>18</v>
      </c>
      <c r="D4" s="31" t="s">
        <v>19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x14ac:dyDescent="0.3">
      <c r="B5" s="18">
        <v>1</v>
      </c>
      <c r="C5" s="19" t="s">
        <v>20</v>
      </c>
      <c r="D5" s="20" t="s">
        <v>21</v>
      </c>
      <c r="E5" s="20" t="s">
        <v>22</v>
      </c>
      <c r="F5" s="21">
        <v>4</v>
      </c>
      <c r="G5" s="22">
        <v>2</v>
      </c>
      <c r="H5" s="23">
        <f>F5 * G5 * 1491.126</f>
        <v>11929.008</v>
      </c>
      <c r="I5" s="23">
        <f>F5 * G5 * 0</f>
        <v>0</v>
      </c>
      <c r="J5" s="23">
        <f>F5 * G5 * 19.067664</f>
        <v>152.541312</v>
      </c>
      <c r="K5" s="23">
        <f>F5 * G5 * 1419.850177</f>
        <v>11358.801416</v>
      </c>
      <c r="L5" s="23">
        <f>F5 * G5 * 340.582384</f>
        <v>2724.6590719999999</v>
      </c>
      <c r="M5" s="23">
        <f>F5 * G5 * 298.2252</f>
        <v>2385.8015999999998</v>
      </c>
      <c r="N5" s="24">
        <f t="shared" ref="N5:N14" si="0">SUM(H5:M5)</f>
        <v>28550.811399999995</v>
      </c>
      <c r="O5" s="25">
        <f>IF(O3&gt;0,N5/O3/12,0)</f>
        <v>7.2810425503764958E-3</v>
      </c>
    </row>
    <row r="6" spans="1:15" ht="41.4" x14ac:dyDescent="0.3">
      <c r="B6" s="18">
        <v>2</v>
      </c>
      <c r="C6" s="19" t="s">
        <v>23</v>
      </c>
      <c r="D6" s="20" t="s">
        <v>24</v>
      </c>
      <c r="E6" s="20" t="s">
        <v>25</v>
      </c>
      <c r="F6" s="21">
        <v>12</v>
      </c>
      <c r="G6" s="22">
        <v>1</v>
      </c>
      <c r="H6" s="23">
        <f>F6 * G6 * 5538.468</f>
        <v>66461.615999999995</v>
      </c>
      <c r="I6" s="23">
        <f>F6 * G6 * 7773.148729</f>
        <v>93277.784747999991</v>
      </c>
      <c r="J6" s="23">
        <f t="shared" ref="J6:J14" si="1">F6 * G6 * 0</f>
        <v>0</v>
      </c>
      <c r="K6" s="23">
        <f>F6 * G6 * 5273.72923</f>
        <v>63284.750759999995</v>
      </c>
      <c r="L6" s="23">
        <f>F6 * G6 * 2077.615674</f>
        <v>24931.388088</v>
      </c>
      <c r="M6" s="23">
        <f>F6 * G6 * 1107.6936</f>
        <v>13292.323200000001</v>
      </c>
      <c r="N6" s="24">
        <f t="shared" si="0"/>
        <v>261247.862796</v>
      </c>
      <c r="O6" s="25">
        <f>IF(O3&gt;0,N6/O3/12,0)</f>
        <v>6.6623563812711714E-2</v>
      </c>
    </row>
    <row r="7" spans="1:15" x14ac:dyDescent="0.3">
      <c r="B7" s="18">
        <v>3</v>
      </c>
      <c r="C7" s="19" t="s">
        <v>26</v>
      </c>
      <c r="D7" s="20" t="s">
        <v>27</v>
      </c>
      <c r="E7" s="20" t="s">
        <v>28</v>
      </c>
      <c r="F7" s="21">
        <v>0.3</v>
      </c>
      <c r="G7" s="22">
        <v>1</v>
      </c>
      <c r="H7" s="23">
        <f>F7 * G7 * 1966.15614</f>
        <v>589.84684200000004</v>
      </c>
      <c r="I7" s="23">
        <f>F7 * G7 * 4071.14</f>
        <v>1221.3419999999999</v>
      </c>
      <c r="J7" s="23">
        <f t="shared" si="1"/>
        <v>0</v>
      </c>
      <c r="K7" s="23">
        <f>F7 * G7 * 1872.173877</f>
        <v>561.65216309999994</v>
      </c>
      <c r="L7" s="23">
        <f>F7 * G7 * 875.934981</f>
        <v>262.78049429999999</v>
      </c>
      <c r="M7" s="23">
        <f>F7 * G7 * 393.231228</f>
        <v>117.96936839999999</v>
      </c>
      <c r="N7" s="24">
        <f t="shared" si="0"/>
        <v>2753.5908678000001</v>
      </c>
      <c r="O7" s="25">
        <f>IF(O3&gt;0,N7/O3/12,0)</f>
        <v>7.0222215382572089E-4</v>
      </c>
    </row>
    <row r="8" spans="1:15" x14ac:dyDescent="0.3">
      <c r="B8" s="18">
        <v>4</v>
      </c>
      <c r="C8" s="19" t="s">
        <v>29</v>
      </c>
      <c r="D8" s="20" t="s">
        <v>30</v>
      </c>
      <c r="E8" s="20" t="s">
        <v>28</v>
      </c>
      <c r="F8" s="21">
        <v>0.2</v>
      </c>
      <c r="G8" s="22">
        <v>1</v>
      </c>
      <c r="H8" s="23">
        <f>F8 * G8 * 7108.2468</f>
        <v>1421.6493600000001</v>
      </c>
      <c r="I8" s="23">
        <f>F8 * G8 * 6220.356</f>
        <v>1244.0712000000001</v>
      </c>
      <c r="J8" s="23">
        <f t="shared" si="1"/>
        <v>0</v>
      </c>
      <c r="K8" s="23">
        <f>F8 * G8 * 6768.472603</f>
        <v>1353.6945206</v>
      </c>
      <c r="L8" s="23">
        <f>F8 * G8 * 2270.225463</f>
        <v>454.04509260000009</v>
      </c>
      <c r="M8" s="23">
        <f>F8 * G8 * 1421.64936</f>
        <v>284.32987199999997</v>
      </c>
      <c r="N8" s="24">
        <f t="shared" si="0"/>
        <v>4757.7900452000003</v>
      </c>
      <c r="O8" s="25">
        <f>IF(O3&gt;0,N8/O3/12,0)</f>
        <v>1.213334054837367E-3</v>
      </c>
    </row>
    <row r="9" spans="1:15" x14ac:dyDescent="0.3">
      <c r="B9" s="18">
        <v>5</v>
      </c>
      <c r="C9" s="19" t="s">
        <v>31</v>
      </c>
      <c r="D9" s="20" t="s">
        <v>32</v>
      </c>
      <c r="E9" s="20" t="s">
        <v>28</v>
      </c>
      <c r="F9" s="21">
        <v>0.37</v>
      </c>
      <c r="G9" s="22">
        <v>1</v>
      </c>
      <c r="H9" s="23">
        <f>F9 * G9 * 8435.5128</f>
        <v>3121.1397360000001</v>
      </c>
      <c r="I9" s="23">
        <f>F9 * G9 * 2822.82</f>
        <v>1044.4434000000001</v>
      </c>
      <c r="J9" s="23">
        <f t="shared" si="1"/>
        <v>0</v>
      </c>
      <c r="K9" s="23">
        <f>F9 * G9 * 8032.29528799999</f>
        <v>2971.9492565599962</v>
      </c>
      <c r="L9" s="23">
        <f>F9 * G9 * 2213.150583</f>
        <v>818.86571571000002</v>
      </c>
      <c r="M9" s="23">
        <f>F9 * G9 * 1687.10256</f>
        <v>624.22794720000002</v>
      </c>
      <c r="N9" s="24">
        <f t="shared" si="0"/>
        <v>8580.6260554699966</v>
      </c>
      <c r="O9" s="25">
        <f>IF(O3&gt;0,N9/O3/12,0)</f>
        <v>2.1882356526913378E-3</v>
      </c>
    </row>
    <row r="10" spans="1:15" ht="27.6" x14ac:dyDescent="0.3">
      <c r="B10" s="18">
        <v>6</v>
      </c>
      <c r="C10" s="19" t="s">
        <v>33</v>
      </c>
      <c r="D10" s="20" t="s">
        <v>34</v>
      </c>
      <c r="E10" s="20" t="s">
        <v>35</v>
      </c>
      <c r="F10" s="21">
        <v>0.32</v>
      </c>
      <c r="G10" s="22">
        <v>1</v>
      </c>
      <c r="H10" s="23">
        <f>F10 * G10 * 12791.091846</f>
        <v>4093.1493907199997</v>
      </c>
      <c r="I10" s="23">
        <f>F10 * G10 * 106309.405092</f>
        <v>34019.009629439999</v>
      </c>
      <c r="J10" s="23">
        <f t="shared" si="1"/>
        <v>0</v>
      </c>
      <c r="K10" s="23">
        <f>F10 * G10 * 12179.677656</f>
        <v>3897.4968499199999</v>
      </c>
      <c r="L10" s="23">
        <f>F10 * G10 * 14119.950458</f>
        <v>4518.3841465599999</v>
      </c>
      <c r="M10" s="23">
        <f>F10 * G10 * 2558.218369</f>
        <v>818.62987808000003</v>
      </c>
      <c r="N10" s="24">
        <f t="shared" si="0"/>
        <v>47346.669894719991</v>
      </c>
      <c r="O10" s="25">
        <f>IF(O3&gt;0,N10/O3/12,0)</f>
        <v>1.2074372013192107E-2</v>
      </c>
    </row>
    <row r="11" spans="1:15" x14ac:dyDescent="0.3">
      <c r="B11" s="18">
        <v>7</v>
      </c>
      <c r="C11" s="19" t="s">
        <v>36</v>
      </c>
      <c r="D11" s="20" t="s">
        <v>37</v>
      </c>
      <c r="E11" s="20" t="s">
        <v>38</v>
      </c>
      <c r="F11" s="21">
        <v>120</v>
      </c>
      <c r="G11" s="22">
        <v>1</v>
      </c>
      <c r="H11" s="23">
        <f>F11 * G11 * 867.88449</f>
        <v>104146.1388</v>
      </c>
      <c r="I11" s="23">
        <f>F11 * G11 * 1053.429847</f>
        <v>126411.58164000002</v>
      </c>
      <c r="J11" s="23">
        <f t="shared" si="1"/>
        <v>0</v>
      </c>
      <c r="K11" s="23">
        <f>F11 * G11 * 826.399611</f>
        <v>99167.953320000001</v>
      </c>
      <c r="L11" s="23">
        <f>F11 * G11 * 308.196183999999</f>
        <v>36983.542079999883</v>
      </c>
      <c r="M11" s="23">
        <f>F11 * G11 * 173.576898</f>
        <v>20829.227760000002</v>
      </c>
      <c r="N11" s="24">
        <f t="shared" si="0"/>
        <v>387538.44359999988</v>
      </c>
      <c r="O11" s="25">
        <f>IF(O3&gt;0,N11/O3/12,0)</f>
        <v>9.8830252430523971E-2</v>
      </c>
    </row>
    <row r="12" spans="1:15" x14ac:dyDescent="0.3">
      <c r="B12" s="18">
        <v>8</v>
      </c>
      <c r="C12" s="19" t="s">
        <v>39</v>
      </c>
      <c r="D12" s="20" t="s">
        <v>40</v>
      </c>
      <c r="E12" s="20" t="s">
        <v>41</v>
      </c>
      <c r="F12" s="21">
        <v>1.7</v>
      </c>
      <c r="G12" s="22">
        <v>1</v>
      </c>
      <c r="H12" s="23">
        <f>F12 * G12 * 9202.86918</f>
        <v>15644.877605999998</v>
      </c>
      <c r="I12" s="23">
        <f>F12 * G12 * 56577.405091</f>
        <v>96181.588654699997</v>
      </c>
      <c r="J12" s="23">
        <f t="shared" si="1"/>
        <v>0</v>
      </c>
      <c r="K12" s="23">
        <f>F12 * G12 * 8762.972033</f>
        <v>14897.0524561</v>
      </c>
      <c r="L12" s="23">
        <f>F12 * G12 * 8058.493025</f>
        <v>13699.438142499999</v>
      </c>
      <c r="M12" s="23">
        <f>F12 * G12 * 1840.573836</f>
        <v>3128.9755212</v>
      </c>
      <c r="N12" s="24">
        <f t="shared" si="0"/>
        <v>143551.93238049999</v>
      </c>
      <c r="O12" s="25">
        <f>IF(O3&gt;0,N12/O3/12,0)</f>
        <v>3.660868734018502E-2</v>
      </c>
    </row>
    <row r="13" spans="1:15" ht="41.4" x14ac:dyDescent="0.3">
      <c r="B13" s="18">
        <v>9</v>
      </c>
      <c r="C13" s="19" t="s">
        <v>42</v>
      </c>
      <c r="D13" s="20" t="s">
        <v>43</v>
      </c>
      <c r="E13" s="20" t="s">
        <v>28</v>
      </c>
      <c r="F13" s="21">
        <v>0.5</v>
      </c>
      <c r="G13" s="22">
        <v>1</v>
      </c>
      <c r="H13" s="23">
        <f>F13 * G13 * 17847.71313</f>
        <v>8923.856565</v>
      </c>
      <c r="I13" s="23">
        <f>F13 * G13 * 17083.49702</f>
        <v>8541.7485099999994</v>
      </c>
      <c r="J13" s="23">
        <f t="shared" si="1"/>
        <v>0</v>
      </c>
      <c r="K13" s="23">
        <f>F13 * G13 * 16994.592443</f>
        <v>8497.2962215000007</v>
      </c>
      <c r="L13" s="23">
        <f>F13 * G13 * 5854.75892</f>
        <v>2927.3794600000001</v>
      </c>
      <c r="M13" s="23">
        <f>F13 * G13 * 3569.542626</f>
        <v>1784.771313</v>
      </c>
      <c r="N13" s="24">
        <f t="shared" si="0"/>
        <v>30675.052069500001</v>
      </c>
      <c r="O13" s="25">
        <f>IF(O3&gt;0,N13/O3/12,0)</f>
        <v>7.8227674942031294E-3</v>
      </c>
    </row>
    <row r="14" spans="1:15" x14ac:dyDescent="0.3">
      <c r="B14" s="18">
        <v>10</v>
      </c>
      <c r="C14" s="19" t="s">
        <v>44</v>
      </c>
      <c r="D14" s="20" t="s">
        <v>45</v>
      </c>
      <c r="E14" s="20" t="s">
        <v>46</v>
      </c>
      <c r="F14" s="21">
        <v>500</v>
      </c>
      <c r="G14" s="22">
        <v>1</v>
      </c>
      <c r="H14" s="23">
        <f>F14 * G14 * 121.846296</f>
        <v>60923.148000000001</v>
      </c>
      <c r="I14" s="23">
        <f>F14 * G14 * 131.476653</f>
        <v>65738.326499999996</v>
      </c>
      <c r="J14" s="23">
        <f t="shared" si="1"/>
        <v>0</v>
      </c>
      <c r="K14" s="23">
        <f>F14 * G14 * 116.022043</f>
        <v>58011.021499999995</v>
      </c>
      <c r="L14" s="23">
        <f>F14 * G14 * 41.536853</f>
        <v>20768.426500000001</v>
      </c>
      <c r="M14" s="23">
        <f>F14 * G14 * 24.369259</f>
        <v>12184.629499999999</v>
      </c>
      <c r="N14" s="24">
        <f t="shared" si="0"/>
        <v>217625.552</v>
      </c>
      <c r="O14" s="25">
        <f>IF(O3&gt;0,N14/O3/12,0)</f>
        <v>5.5498979764938415E-2</v>
      </c>
    </row>
    <row r="15" spans="1:15" s="15" customFormat="1" ht="14.4" x14ac:dyDescent="0.3">
      <c r="B15" s="16"/>
      <c r="C15" s="17" t="s">
        <v>47</v>
      </c>
      <c r="D15" s="31" t="s">
        <v>48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41.4" x14ac:dyDescent="0.3">
      <c r="B16" s="18">
        <v>11</v>
      </c>
      <c r="C16" s="19" t="s">
        <v>49</v>
      </c>
      <c r="D16" s="20" t="s">
        <v>50</v>
      </c>
      <c r="E16" s="20" t="s">
        <v>51</v>
      </c>
      <c r="F16" s="21">
        <v>3</v>
      </c>
      <c r="G16" s="22">
        <v>1</v>
      </c>
      <c r="H16" s="23">
        <f>F16 * G16 * 22239.0792</f>
        <v>66717.237599999993</v>
      </c>
      <c r="I16" s="23">
        <f>F16 * G16 * 7756.282227</f>
        <v>23268.846680999999</v>
      </c>
      <c r="J16" s="23">
        <f>F16 * G16 * 2095.70812</f>
        <v>6287.1243599999998</v>
      </c>
      <c r="K16" s="23">
        <f>F16 * G16 * 23086.422361</f>
        <v>69259.267082999999</v>
      </c>
      <c r="L16" s="23">
        <f>F16 * G16 * 6332.802284</f>
        <v>18998.406852</v>
      </c>
      <c r="M16" s="23">
        <f>F16 * G16 * 4849.070019</f>
        <v>14547.210057</v>
      </c>
      <c r="N16" s="24">
        <f t="shared" ref="N16:N25" si="2">SUM(H16:M16)</f>
        <v>199078.09263299999</v>
      </c>
      <c r="O16" s="25">
        <f>IF(O3&gt;0,N16/O3/12,0)</f>
        <v>5.0768997174933772E-2</v>
      </c>
    </row>
    <row r="17" spans="2:15" ht="27.6" x14ac:dyDescent="0.3">
      <c r="B17" s="18">
        <v>12</v>
      </c>
      <c r="C17" s="19" t="s">
        <v>52</v>
      </c>
      <c r="D17" s="20" t="s">
        <v>53</v>
      </c>
      <c r="E17" s="20" t="s">
        <v>54</v>
      </c>
      <c r="F17" s="21">
        <v>150</v>
      </c>
      <c r="G17" s="22">
        <v>1</v>
      </c>
      <c r="H17" s="23">
        <f>F17 * G17 * 2708.85159</f>
        <v>406327.73850000004</v>
      </c>
      <c r="I17" s="23">
        <f>F17 * G17 * 1942.130804</f>
        <v>291319.62059999997</v>
      </c>
      <c r="J17" s="23">
        <f t="shared" ref="J17:J24" si="3">F17 * G17 * 0</f>
        <v>0</v>
      </c>
      <c r="K17" s="23">
        <f>F17 * G17 * 2579.368484</f>
        <v>386905.27260000003</v>
      </c>
      <c r="L17" s="23">
        <f>F17 * G17 * 819.958785999999</f>
        <v>122993.81789999985</v>
      </c>
      <c r="M17" s="23">
        <f>F17 * G17 * 541.770318</f>
        <v>81265.547699999996</v>
      </c>
      <c r="N17" s="24">
        <f t="shared" si="2"/>
        <v>1288811.9972999999</v>
      </c>
      <c r="O17" s="25">
        <f>IF(O3&gt;0,N17/O3/12,0)</f>
        <v>0.32867349583546407</v>
      </c>
    </row>
    <row r="18" spans="2:15" ht="27.6" x14ac:dyDescent="0.3">
      <c r="B18" s="18">
        <v>13</v>
      </c>
      <c r="C18" s="19" t="s">
        <v>55</v>
      </c>
      <c r="D18" s="20" t="s">
        <v>56</v>
      </c>
      <c r="E18" s="20" t="s">
        <v>54</v>
      </c>
      <c r="F18" s="21">
        <v>25</v>
      </c>
      <c r="G18" s="22">
        <v>1</v>
      </c>
      <c r="H18" s="23">
        <f>F18 * G18 * 1314.9765</f>
        <v>32874.412499999999</v>
      </c>
      <c r="I18" s="23">
        <f>F18 * G18 * 1942.130804</f>
        <v>48553.270099999994</v>
      </c>
      <c r="J18" s="23">
        <f t="shared" si="3"/>
        <v>0</v>
      </c>
      <c r="K18" s="23">
        <f>F18 * G18 * 1252.120623</f>
        <v>31303.015575000001</v>
      </c>
      <c r="L18" s="23">
        <f>F18 * G18 * 503.469549999999</f>
        <v>12586.738749999975</v>
      </c>
      <c r="M18" s="23">
        <f>F18 * G18 * 262.9953</f>
        <v>6574.8824999999997</v>
      </c>
      <c r="N18" s="24">
        <f t="shared" si="2"/>
        <v>131892.31942499997</v>
      </c>
      <c r="O18" s="25">
        <f>IF(O3&gt;0,N18/O3/12,0)</f>
        <v>3.3635246870821804E-2</v>
      </c>
    </row>
    <row r="19" spans="2:15" ht="27.6" x14ac:dyDescent="0.3">
      <c r="B19" s="18">
        <v>14</v>
      </c>
      <c r="C19" s="19" t="s">
        <v>57</v>
      </c>
      <c r="D19" s="20" t="s">
        <v>58</v>
      </c>
      <c r="E19" s="20" t="s">
        <v>59</v>
      </c>
      <c r="F19" s="21">
        <v>1</v>
      </c>
      <c r="G19" s="22">
        <v>1</v>
      </c>
      <c r="H19" s="23">
        <f>F19 * G19 * 12528.119486</f>
        <v>12528.119486</v>
      </c>
      <c r="I19" s="23">
        <f>F19 * G19 * 2649.545163</f>
        <v>2649.5451629999998</v>
      </c>
      <c r="J19" s="23">
        <f t="shared" si="3"/>
        <v>0</v>
      </c>
      <c r="K19" s="23">
        <f>F19 * G19 * 11929.275375</f>
        <v>11929.275374999999</v>
      </c>
      <c r="L19" s="23">
        <f>F19 * G19 * 3124.125494</f>
        <v>3124.1254939999999</v>
      </c>
      <c r="M19" s="23">
        <f>F19 * G19 * 2505.623897</f>
        <v>2505.6238969999999</v>
      </c>
      <c r="N19" s="24">
        <f t="shared" si="2"/>
        <v>32736.689414999997</v>
      </c>
      <c r="O19" s="25">
        <f>IF(O3&gt;0,N19/O3/12,0)</f>
        <v>8.3485273062703525E-3</v>
      </c>
    </row>
    <row r="20" spans="2:15" x14ac:dyDescent="0.3">
      <c r="B20" s="18">
        <v>15</v>
      </c>
      <c r="C20" s="19" t="s">
        <v>60</v>
      </c>
      <c r="D20" s="20" t="s">
        <v>61</v>
      </c>
      <c r="E20" s="20" t="s">
        <v>62</v>
      </c>
      <c r="F20" s="21">
        <v>1</v>
      </c>
      <c r="G20" s="22">
        <v>1</v>
      </c>
      <c r="H20" s="23">
        <f>F20 * G20 * 17147.949</f>
        <v>17147.949000000001</v>
      </c>
      <c r="I20" s="23">
        <f>F20 * G20 * 26013.828512</f>
        <v>26013.828512</v>
      </c>
      <c r="J20" s="23">
        <f t="shared" si="3"/>
        <v>0</v>
      </c>
      <c r="K20" s="23">
        <f>F20 * G20 * 16328.277038</f>
        <v>16328.277038</v>
      </c>
      <c r="L20" s="23">
        <f>F20 * G20 * 6638.02247899999</f>
        <v>6638.0224789999902</v>
      </c>
      <c r="M20" s="23">
        <f>F20 * G20 * 3429.5898</f>
        <v>3429.5898000000002</v>
      </c>
      <c r="N20" s="24">
        <f t="shared" si="2"/>
        <v>69557.666828999994</v>
      </c>
      <c r="O20" s="25">
        <f>IF(O3&gt;0,N20/O3/12,0)</f>
        <v>1.7738631830507657E-2</v>
      </c>
    </row>
    <row r="21" spans="2:15" ht="27.6" x14ac:dyDescent="0.3">
      <c r="B21" s="18">
        <v>16</v>
      </c>
      <c r="C21" s="19" t="s">
        <v>63</v>
      </c>
      <c r="D21" s="20" t="s">
        <v>64</v>
      </c>
      <c r="E21" s="20" t="s">
        <v>65</v>
      </c>
      <c r="F21" s="21">
        <v>295</v>
      </c>
      <c r="G21" s="22">
        <v>0.2</v>
      </c>
      <c r="H21" s="23">
        <f>F21 * G21 * 10778.7108</f>
        <v>635943.93720000004</v>
      </c>
      <c r="I21" s="23">
        <f>F21 * G21 * 1881.883219</f>
        <v>111031.10992100001</v>
      </c>
      <c r="J21" s="23">
        <f t="shared" si="3"/>
        <v>0</v>
      </c>
      <c r="K21" s="23">
        <f>F21 * G21 * 10263.488424</f>
        <v>605545.81701599993</v>
      </c>
      <c r="L21" s="23">
        <f>F21 * G21 * 2645.921496</f>
        <v>156109.36826399999</v>
      </c>
      <c r="M21" s="23">
        <f>F21 * G21 * 2155.74216</f>
        <v>127188.78743999999</v>
      </c>
      <c r="N21" s="24">
        <f t="shared" si="2"/>
        <v>1635819.019841</v>
      </c>
      <c r="O21" s="25">
        <f>IF(O3&gt;0,N21/O3/12,0)</f>
        <v>0.41716740450246875</v>
      </c>
    </row>
    <row r="22" spans="2:15" ht="41.4" x14ac:dyDescent="0.3">
      <c r="B22" s="18">
        <v>17</v>
      </c>
      <c r="C22" s="19" t="s">
        <v>66</v>
      </c>
      <c r="D22" s="20" t="s">
        <v>67</v>
      </c>
      <c r="E22" s="20" t="s">
        <v>59</v>
      </c>
      <c r="F22" s="21">
        <v>904</v>
      </c>
      <c r="G22" s="22">
        <v>0.2</v>
      </c>
      <c r="H22" s="23">
        <f>F22 * G22 * 8303.638272</f>
        <v>1501297.7995776001</v>
      </c>
      <c r="I22" s="23">
        <f>F22 * G22 * 11358.829364</f>
        <v>2053676.3490112</v>
      </c>
      <c r="J22" s="23">
        <f t="shared" si="3"/>
        <v>0</v>
      </c>
      <c r="K22" s="23">
        <f>F22 * G22 * 7906.72436299999</f>
        <v>1429535.7648303984</v>
      </c>
      <c r="L22" s="23">
        <f>F22 * G22 * 3083.756523</f>
        <v>557543.17935840006</v>
      </c>
      <c r="M22" s="23">
        <f>F22 * G22 * 1660.727654</f>
        <v>300259.55984320003</v>
      </c>
      <c r="N22" s="24">
        <f t="shared" si="2"/>
        <v>5842312.6526207989</v>
      </c>
      <c r="O22" s="25">
        <f>IF(O3&gt;0,N22/O3/12,0)</f>
        <v>1.4899095658043198</v>
      </c>
    </row>
    <row r="23" spans="2:15" ht="27.6" x14ac:dyDescent="0.3">
      <c r="B23" s="18">
        <v>18</v>
      </c>
      <c r="C23" s="19" t="s">
        <v>68</v>
      </c>
      <c r="D23" s="20" t="s">
        <v>69</v>
      </c>
      <c r="E23" s="20" t="s">
        <v>70</v>
      </c>
      <c r="F23" s="21">
        <v>1</v>
      </c>
      <c r="G23" s="22">
        <v>1</v>
      </c>
      <c r="H23" s="23">
        <f>F23 * G23 * 52599.06</f>
        <v>52599.06</v>
      </c>
      <c r="I23" s="23">
        <f>F23 * G23 * 22740.767469</f>
        <v>22740.767468999999</v>
      </c>
      <c r="J23" s="23">
        <f t="shared" si="3"/>
        <v>0</v>
      </c>
      <c r="K23" s="23">
        <f>F23 * G23 * 50084.824932</f>
        <v>50084.824932000003</v>
      </c>
      <c r="L23" s="23">
        <f>F23 * G23 * 14342.140994</f>
        <v>14342.140993999999</v>
      </c>
      <c r="M23" s="23">
        <f>F23 * G23 * 10519.812</f>
        <v>10519.812</v>
      </c>
      <c r="N23" s="24">
        <f t="shared" si="2"/>
        <v>150286.60539499999</v>
      </c>
      <c r="O23" s="25">
        <f>IF(O3&gt;0,N23/O3/12,0)</f>
        <v>3.8326167102649737E-2</v>
      </c>
    </row>
    <row r="24" spans="2:15" ht="55.2" x14ac:dyDescent="0.3">
      <c r="B24" s="18">
        <v>19</v>
      </c>
      <c r="C24" s="19" t="s">
        <v>71</v>
      </c>
      <c r="D24" s="20" t="s">
        <v>72</v>
      </c>
      <c r="E24" s="20" t="s">
        <v>59</v>
      </c>
      <c r="F24" s="21">
        <v>300</v>
      </c>
      <c r="G24" s="22">
        <v>0.2</v>
      </c>
      <c r="H24" s="23">
        <f>F24 * G24 * 9543.573446</f>
        <v>572614.40676000004</v>
      </c>
      <c r="I24" s="23">
        <f>F24 * G24 * 11493.579755</f>
        <v>689614.78529999999</v>
      </c>
      <c r="J24" s="23">
        <f t="shared" si="3"/>
        <v>0</v>
      </c>
      <c r="K24" s="23">
        <f>F24 * G24 * 9087.390635</f>
        <v>545243.43810000003</v>
      </c>
      <c r="L24" s="23">
        <f>F24 * G24 * 3379.508775</f>
        <v>202770.52649999998</v>
      </c>
      <c r="M24" s="23">
        <f>F24 * G24 * 1908.714689</f>
        <v>114522.88133999999</v>
      </c>
      <c r="N24" s="24">
        <f t="shared" si="2"/>
        <v>2124766.0380000002</v>
      </c>
      <c r="O24" s="25">
        <f>IF(O3&gt;0,N24/O3/12,0)</f>
        <v>0.54185892357065857</v>
      </c>
    </row>
    <row r="25" spans="2:15" ht="27.6" x14ac:dyDescent="0.3">
      <c r="B25" s="18">
        <v>20</v>
      </c>
      <c r="C25" s="19" t="s">
        <v>73</v>
      </c>
      <c r="D25" s="20" t="s">
        <v>74</v>
      </c>
      <c r="E25" s="20" t="s">
        <v>75</v>
      </c>
      <c r="F25" s="21">
        <v>60</v>
      </c>
      <c r="G25" s="22">
        <v>1</v>
      </c>
      <c r="H25" s="23">
        <f>F25 * G25 * 198.745794</f>
        <v>11924.74764</v>
      </c>
      <c r="I25" s="23">
        <f>F25 * G25 * 2905.576178</f>
        <v>174334.57067999998</v>
      </c>
      <c r="J25" s="23">
        <f>F25 * G25 * 0.049104</f>
        <v>2.94624</v>
      </c>
      <c r="K25" s="23">
        <f>F25 * G25 * 189.245745</f>
        <v>11354.744699999999</v>
      </c>
      <c r="L25" s="23">
        <f>F25 * G25 * 351.670111</f>
        <v>21100.20666</v>
      </c>
      <c r="M25" s="23">
        <f>F25 * G25 * 39.749159</f>
        <v>2384.9495400000001</v>
      </c>
      <c r="N25" s="24">
        <f t="shared" si="2"/>
        <v>221102.16545999996</v>
      </c>
      <c r="O25" s="25">
        <f>IF(O3&gt;0,N25/O3/12,0)</f>
        <v>5.6385587510645825E-2</v>
      </c>
    </row>
    <row r="26" spans="2:15" s="15" customFormat="1" ht="14.4" x14ac:dyDescent="0.3">
      <c r="B26" s="16"/>
      <c r="C26" s="17" t="s">
        <v>76</v>
      </c>
      <c r="D26" s="31" t="s">
        <v>77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2:15" ht="41.4" x14ac:dyDescent="0.3">
      <c r="B27" s="18">
        <v>21</v>
      </c>
      <c r="C27" s="19" t="s">
        <v>78</v>
      </c>
      <c r="D27" s="20" t="s">
        <v>50</v>
      </c>
      <c r="E27" s="20" t="s">
        <v>79</v>
      </c>
      <c r="F27" s="21">
        <v>3</v>
      </c>
      <c r="G27" s="22">
        <v>1</v>
      </c>
      <c r="H27" s="23">
        <f>F27 * G27 * 22239.0792</f>
        <v>66717.237599999993</v>
      </c>
      <c r="I27" s="23">
        <f>F27 * G27 * 7756.32159</f>
        <v>23268.964769999999</v>
      </c>
      <c r="J27" s="23">
        <f>F27 * G27 * 2350.115944</f>
        <v>7050.3478320000004</v>
      </c>
      <c r="K27" s="23">
        <f>F27 * G27 * 23303.748986</f>
        <v>69911.246958000003</v>
      </c>
      <c r="L27" s="23">
        <f>F27 * G27 * 6387.39020699999</f>
        <v>19162.170620999972</v>
      </c>
      <c r="M27" s="23">
        <f>F27 * G27 * 4894.717283</f>
        <v>14684.151849</v>
      </c>
      <c r="N27" s="24">
        <f>SUM(H27:M27)</f>
        <v>200794.11962999994</v>
      </c>
      <c r="O27" s="25">
        <f>IF(O3&gt;0,N27/O3/12,0)</f>
        <v>5.120661925886346E-2</v>
      </c>
    </row>
    <row r="28" spans="2:15" s="15" customFormat="1" ht="14.4" x14ac:dyDescent="0.3">
      <c r="B28" s="16"/>
      <c r="C28" s="17" t="s">
        <v>80</v>
      </c>
      <c r="D28" s="31" t="s">
        <v>81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2:15" x14ac:dyDescent="0.3">
      <c r="B29" s="18">
        <v>22</v>
      </c>
      <c r="C29" s="19" t="s">
        <v>82</v>
      </c>
      <c r="D29" s="20" t="s">
        <v>83</v>
      </c>
      <c r="E29" s="20" t="s">
        <v>84</v>
      </c>
      <c r="F29" s="21">
        <v>20</v>
      </c>
      <c r="G29" s="22">
        <v>1</v>
      </c>
      <c r="H29" s="23">
        <f>F29 * G29 * 1041.231984</f>
        <v>20824.63968</v>
      </c>
      <c r="I29" s="23">
        <f>F29 * G29 * 1012.517805</f>
        <v>20250.356099999997</v>
      </c>
      <c r="J29" s="23">
        <f>F29 * G29 * 0</f>
        <v>0</v>
      </c>
      <c r="K29" s="23">
        <f>F29 * G29 * 991.461096</f>
        <v>19829.22192</v>
      </c>
      <c r="L29" s="23">
        <f>F29 * G29 * 343.239743</f>
        <v>6864.79486</v>
      </c>
      <c r="M29" s="23">
        <f>F29 * G29 * 208.246397</f>
        <v>4164.9279399999996</v>
      </c>
      <c r="N29" s="24">
        <f>SUM(H29:M29)</f>
        <v>71933.940499999982</v>
      </c>
      <c r="O29" s="25">
        <f>IF(O3&gt;0,N29/O3/12,0)</f>
        <v>1.8344630359498331E-2</v>
      </c>
    </row>
    <row r="30" spans="2:15" ht="41.4" x14ac:dyDescent="0.3">
      <c r="B30" s="18">
        <v>23</v>
      </c>
      <c r="C30" s="19" t="s">
        <v>85</v>
      </c>
      <c r="D30" s="20" t="s">
        <v>86</v>
      </c>
      <c r="E30" s="20" t="s">
        <v>87</v>
      </c>
      <c r="F30" s="21">
        <v>0.5</v>
      </c>
      <c r="G30" s="22">
        <v>1</v>
      </c>
      <c r="H30" s="23">
        <f>F30 * G30 * 71723.1606</f>
        <v>35861.580300000001</v>
      </c>
      <c r="I30" s="23">
        <f>F30 * G30 * 664407.156347</f>
        <v>332203.57817350002</v>
      </c>
      <c r="J30" s="23">
        <f>F30 * G30 * 0</f>
        <v>0</v>
      </c>
      <c r="K30" s="23">
        <f>F30 * G30 * 68294.793523</f>
        <v>34147.3967615</v>
      </c>
      <c r="L30" s="23">
        <f>F30 * G30 * 86380.207843</f>
        <v>43190.103921499998</v>
      </c>
      <c r="M30" s="23">
        <f>F30 * G30 * 14344.63212</f>
        <v>7172.3160600000001</v>
      </c>
      <c r="N30" s="24">
        <f>SUM(H30:M30)</f>
        <v>452574.9752165</v>
      </c>
      <c r="O30" s="25">
        <f>IF(O3&gt;0,N30/O3/12,0)</f>
        <v>0.11541590204287243</v>
      </c>
    </row>
    <row r="31" spans="2:15" x14ac:dyDescent="0.3">
      <c r="B31" s="18">
        <v>24</v>
      </c>
      <c r="C31" s="19" t="s">
        <v>88</v>
      </c>
      <c r="D31" s="20" t="s">
        <v>89</v>
      </c>
      <c r="E31" s="20" t="s">
        <v>87</v>
      </c>
      <c r="F31" s="21">
        <v>0.5</v>
      </c>
      <c r="G31" s="22">
        <v>1</v>
      </c>
      <c r="H31" s="23">
        <f>F31 * G31 * 324000.378</f>
        <v>162000.18900000001</v>
      </c>
      <c r="I31" s="23">
        <f>F31 * G31 * 66792.360001</f>
        <v>33396.180000499997</v>
      </c>
      <c r="J31" s="23">
        <f>F31 * G31 * 0</f>
        <v>0</v>
      </c>
      <c r="K31" s="23">
        <f>F31 * G31 * 308513.159932</f>
        <v>154256.57996599999</v>
      </c>
      <c r="L31" s="23">
        <f>F31 * G31 * 80613.1802079999</f>
        <v>40306.590103999952</v>
      </c>
      <c r="M31" s="23">
        <f>F31 * G31 * 64800.0756</f>
        <v>32400.037799999998</v>
      </c>
      <c r="N31" s="24">
        <f>SUM(H31:M31)</f>
        <v>422359.57687049994</v>
      </c>
      <c r="O31" s="25">
        <f>IF(O3&gt;0,N31/O3/12,0)</f>
        <v>0.10771035567672599</v>
      </c>
    </row>
    <row r="32" spans="2:15" s="15" customFormat="1" ht="14.4" x14ac:dyDescent="0.3">
      <c r="B32" s="16"/>
      <c r="C32" s="17" t="s">
        <v>90</v>
      </c>
      <c r="D32" s="31" t="s">
        <v>91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2:15" ht="41.4" x14ac:dyDescent="0.3">
      <c r="B33" s="18">
        <v>25</v>
      </c>
      <c r="C33" s="19" t="s">
        <v>92</v>
      </c>
      <c r="D33" s="20" t="s">
        <v>93</v>
      </c>
      <c r="E33" s="20" t="s">
        <v>94</v>
      </c>
      <c r="F33" s="21">
        <v>2</v>
      </c>
      <c r="G33" s="22">
        <v>1</v>
      </c>
      <c r="H33" s="23">
        <f>F33 * G33 * 16795.40421</f>
        <v>33590.808420000001</v>
      </c>
      <c r="I33" s="23">
        <f>F33 * G33 * 3227.508203</f>
        <v>6455.0164059999997</v>
      </c>
      <c r="J33" s="23">
        <f>F33 * G33 * 0</f>
        <v>0</v>
      </c>
      <c r="K33" s="23">
        <f>F33 * G33 * 15992.583889</f>
        <v>31985.167777999999</v>
      </c>
      <c r="L33" s="23">
        <f>F33 * G33 * 4154.017889</f>
        <v>8308.0357779999995</v>
      </c>
      <c r="M33" s="23">
        <f>F33 * G33 * 3359.080842</f>
        <v>6718.1616839999997</v>
      </c>
      <c r="N33" s="24">
        <f>SUM(H33:M33)</f>
        <v>87057.19006600001</v>
      </c>
      <c r="O33" s="25">
        <f>IF(O3&gt;0,N33/O3/12,0)</f>
        <v>2.220136921176118E-2</v>
      </c>
    </row>
    <row r="34" spans="2:15" s="15" customFormat="1" ht="14.4" x14ac:dyDescent="0.3">
      <c r="B34" s="16"/>
      <c r="C34" s="17" t="s">
        <v>95</v>
      </c>
      <c r="D34" s="31" t="s">
        <v>96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 x14ac:dyDescent="0.3">
      <c r="B35" s="18">
        <v>26</v>
      </c>
      <c r="C35" s="19" t="s">
        <v>97</v>
      </c>
      <c r="D35" s="20" t="s">
        <v>98</v>
      </c>
      <c r="E35" s="20" t="s">
        <v>84</v>
      </c>
      <c r="F35" s="21">
        <v>30</v>
      </c>
      <c r="G35" s="22">
        <v>1</v>
      </c>
      <c r="H35" s="23">
        <f>F35 * G35 * 263.07723</f>
        <v>7892.3168999999998</v>
      </c>
      <c r="I35" s="23">
        <f>F35 * G35 * 116.71644</f>
        <v>3501.4932000000003</v>
      </c>
      <c r="J35" s="23">
        <f>F35 * G35 * 0</f>
        <v>0</v>
      </c>
      <c r="K35" s="23">
        <f>F35 * G35 * 250.502138</f>
        <v>7515.0641400000004</v>
      </c>
      <c r="L35" s="23">
        <f>F35 * G35 * 72.047137</f>
        <v>2161.4141100000002</v>
      </c>
      <c r="M35" s="23">
        <f>F35 * G35 * 52.615446</f>
        <v>1578.4633799999999</v>
      </c>
      <c r="N35" s="24">
        <f>SUM(H35:M35)</f>
        <v>22648.751730000004</v>
      </c>
      <c r="O35" s="25">
        <f>IF(O3&gt;0,N35/O3/12,0)</f>
        <v>5.7758962695905495E-3</v>
      </c>
    </row>
    <row r="36" spans="2:15" x14ac:dyDescent="0.3">
      <c r="B36" s="18">
        <v>27</v>
      </c>
      <c r="C36" s="19" t="s">
        <v>99</v>
      </c>
      <c r="D36" s="20" t="s">
        <v>100</v>
      </c>
      <c r="E36" s="20" t="s">
        <v>84</v>
      </c>
      <c r="F36" s="21">
        <v>50</v>
      </c>
      <c r="G36" s="22">
        <v>1</v>
      </c>
      <c r="H36" s="23">
        <f>F36 * G36 * 341.89389</f>
        <v>17094.694500000001</v>
      </c>
      <c r="I36" s="23">
        <f>F36 * G36 * 6.126506</f>
        <v>306.32530000000003</v>
      </c>
      <c r="J36" s="23">
        <f>F36 * G36 * 0</f>
        <v>0</v>
      </c>
      <c r="K36" s="23">
        <f>F36 * G36 * 325.551363</f>
        <v>16277.568149999999</v>
      </c>
      <c r="L36" s="23">
        <f>F36 * G36 * 78.275782</f>
        <v>3913.7891000000004</v>
      </c>
      <c r="M36" s="23">
        <f>F36 * G36 * 68.378778</f>
        <v>3418.9388999999996</v>
      </c>
      <c r="N36" s="24">
        <f>SUM(H36:M36)</f>
        <v>41011.315950000004</v>
      </c>
      <c r="O36" s="25">
        <f>IF(O3&gt;0,N36/O3/12,0)</f>
        <v>1.0458726804481793E-2</v>
      </c>
    </row>
    <row r="37" spans="2:15" s="15" customFormat="1" ht="14.4" x14ac:dyDescent="0.3">
      <c r="B37" s="16"/>
      <c r="C37" s="17" t="s">
        <v>101</v>
      </c>
      <c r="D37" s="31" t="s">
        <v>102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2:15" x14ac:dyDescent="0.3">
      <c r="B38" s="18">
        <v>28</v>
      </c>
      <c r="C38" s="19" t="s">
        <v>103</v>
      </c>
      <c r="D38" s="20" t="s">
        <v>104</v>
      </c>
      <c r="E38" s="20" t="s">
        <v>105</v>
      </c>
      <c r="F38" s="21">
        <v>4</v>
      </c>
      <c r="G38" s="22">
        <v>1</v>
      </c>
      <c r="H38" s="23">
        <f>F38 * G38 * 5475.095145</f>
        <v>21900.380580000001</v>
      </c>
      <c r="I38" s="23">
        <f>F38 * G38 * 52241.43154</f>
        <v>208965.72615999999</v>
      </c>
      <c r="J38" s="23">
        <f>F38 * G38 * 139.50288</f>
        <v>558.01152000000002</v>
      </c>
      <c r="K38" s="23">
        <f>F38 * G38 * 5265.96462</f>
        <v>21063.858479999999</v>
      </c>
      <c r="L38" s="23">
        <f>F38 * G38 * 6776.060004</f>
        <v>27104.240016</v>
      </c>
      <c r="M38" s="23">
        <f>F38 * G38 * 1106.062722</f>
        <v>4424.2508879999996</v>
      </c>
      <c r="N38" s="24">
        <f t="shared" ref="N38:N50" si="4">SUM(H38:M38)</f>
        <v>284016.46764400002</v>
      </c>
      <c r="O38" s="25">
        <f>IF(O3&gt;0,N38/O3/12,0)</f>
        <v>7.243002508585776E-2</v>
      </c>
    </row>
    <row r="39" spans="2:15" ht="27.6" x14ac:dyDescent="0.3">
      <c r="B39" s="18">
        <v>29</v>
      </c>
      <c r="C39" s="19" t="s">
        <v>106</v>
      </c>
      <c r="D39" s="20" t="s">
        <v>107</v>
      </c>
      <c r="E39" s="20" t="s">
        <v>108</v>
      </c>
      <c r="F39" s="21">
        <v>15</v>
      </c>
      <c r="G39" s="22">
        <v>1</v>
      </c>
      <c r="H39" s="23">
        <f>F39 * G39 * 10543.538928</f>
        <v>158153.08392</v>
      </c>
      <c r="I39" s="23">
        <f>F39 * G39 * 101408.72186</f>
        <v>1521130.8279000001</v>
      </c>
      <c r="J39" s="23">
        <f>F39 * G39 * 265.656336</f>
        <v>3984.8450400000002</v>
      </c>
      <c r="K39" s="23">
        <f>F39 * G39 * 10134.200007</f>
        <v>152013.00010499998</v>
      </c>
      <c r="L39" s="23">
        <f>F39 * G39 * 13132.714226</f>
        <v>196990.71338999999</v>
      </c>
      <c r="M39" s="23">
        <f>F39 * G39 * 2128.586433</f>
        <v>31928.796494999999</v>
      </c>
      <c r="N39" s="24">
        <f t="shared" si="4"/>
        <v>2064201.26685</v>
      </c>
      <c r="O39" s="25">
        <f>IF(O3&gt;0,N39/O3/12,0)</f>
        <v>0.52641366460344874</v>
      </c>
    </row>
    <row r="40" spans="2:15" ht="27.6" x14ac:dyDescent="0.3">
      <c r="B40" s="18">
        <v>30</v>
      </c>
      <c r="C40" s="19" t="s">
        <v>109</v>
      </c>
      <c r="D40" s="20" t="s">
        <v>110</v>
      </c>
      <c r="E40" s="20" t="s">
        <v>105</v>
      </c>
      <c r="F40" s="21">
        <v>2</v>
      </c>
      <c r="G40" s="22">
        <v>1</v>
      </c>
      <c r="H40" s="23">
        <f>F40 * G40 * 3469.850202</f>
        <v>6939.7004040000002</v>
      </c>
      <c r="I40" s="23">
        <f>F40 * G40 * 11409.22462</f>
        <v>22818.449240000002</v>
      </c>
      <c r="J40" s="23">
        <f>F40 * G40 * 157.778544</f>
        <v>315.55708800000002</v>
      </c>
      <c r="K40" s="23">
        <f>F40 * G40 * 3384.61253</f>
        <v>6769.2250599999998</v>
      </c>
      <c r="L40" s="23">
        <f>F40 * G40 * 2018.464993</f>
        <v>4036.9299860000001</v>
      </c>
      <c r="M40" s="23">
        <f>F40 * G40 * 710.903703</f>
        <v>1421.8074059999999</v>
      </c>
      <c r="N40" s="24">
        <f t="shared" si="4"/>
        <v>42301.669184000006</v>
      </c>
      <c r="O40" s="25">
        <f>IF(O3&gt;0,N40/O3/12,0)</f>
        <v>1.0787793347290098E-2</v>
      </c>
    </row>
    <row r="41" spans="2:15" ht="27.6" x14ac:dyDescent="0.3">
      <c r="B41" s="18">
        <v>31</v>
      </c>
      <c r="C41" s="19" t="s">
        <v>111</v>
      </c>
      <c r="D41" s="20" t="s">
        <v>112</v>
      </c>
      <c r="E41" s="20" t="s">
        <v>108</v>
      </c>
      <c r="F41" s="21">
        <v>5</v>
      </c>
      <c r="G41" s="22">
        <v>1</v>
      </c>
      <c r="H41" s="23">
        <f>F41 * G41 * 12003.5643</f>
        <v>60017.821499999998</v>
      </c>
      <c r="I41" s="23">
        <f>F41 * G41 * 59053.161576</f>
        <v>295265.80787999998</v>
      </c>
      <c r="J41" s="23">
        <f>F41 * G41 * 0</f>
        <v>0</v>
      </c>
      <c r="K41" s="23">
        <f>F41 * G41 * 11429.793926</f>
        <v>57148.96963</v>
      </c>
      <c r="L41" s="23">
        <f>F41 * G41 * 8955.603046</f>
        <v>44778.015230000005</v>
      </c>
      <c r="M41" s="23">
        <f>F41 * G41 * 2400.71286</f>
        <v>12003.5643</v>
      </c>
      <c r="N41" s="24">
        <f t="shared" si="4"/>
        <v>469214.17854000005</v>
      </c>
      <c r="O41" s="25">
        <f>IF(O3&gt;0,N41/O3/12,0)</f>
        <v>0.11965924019902618</v>
      </c>
    </row>
    <row r="42" spans="2:15" x14ac:dyDescent="0.3">
      <c r="B42" s="18">
        <v>32</v>
      </c>
      <c r="C42" s="19" t="s">
        <v>113</v>
      </c>
      <c r="D42" s="20" t="s">
        <v>114</v>
      </c>
      <c r="E42" s="20" t="s">
        <v>115</v>
      </c>
      <c r="F42" s="21">
        <v>150</v>
      </c>
      <c r="G42" s="22">
        <v>1</v>
      </c>
      <c r="H42" s="23">
        <f>F42 * G42 * 498.46212</f>
        <v>74769.317999999999</v>
      </c>
      <c r="I42" s="23">
        <f>F42 * G42 * 99.49633</f>
        <v>14924.449500000001</v>
      </c>
      <c r="J42" s="23">
        <f>F42 * G42 * 0</f>
        <v>0</v>
      </c>
      <c r="K42" s="23">
        <f>F42 * G42 * 474.635631</f>
        <v>71195.344649999999</v>
      </c>
      <c r="L42" s="23">
        <f>F42 * G42 * 123.676227</f>
        <v>18551.43405</v>
      </c>
      <c r="M42" s="23">
        <f>F42 * G42 * 99.692424</f>
        <v>14953.863600000001</v>
      </c>
      <c r="N42" s="24">
        <f t="shared" si="4"/>
        <v>194394.40980000002</v>
      </c>
      <c r="O42" s="25">
        <f>IF(O3&gt;0,N42/O3/12,0)</f>
        <v>4.9574561979318255E-2</v>
      </c>
    </row>
    <row r="43" spans="2:15" ht="27.6" x14ac:dyDescent="0.3">
      <c r="B43" s="18">
        <v>33</v>
      </c>
      <c r="C43" s="19" t="s">
        <v>116</v>
      </c>
      <c r="D43" s="20" t="s">
        <v>117</v>
      </c>
      <c r="E43" s="20" t="s">
        <v>65</v>
      </c>
      <c r="F43" s="21">
        <v>10.8</v>
      </c>
      <c r="G43" s="22">
        <v>1</v>
      </c>
      <c r="H43" s="23">
        <f>F43 * G43 * 4732.512758</f>
        <v>51111.137786400002</v>
      </c>
      <c r="I43" s="23">
        <f>F43 * G43 * 1838.677544</f>
        <v>19857.717475199999</v>
      </c>
      <c r="J43" s="23">
        <f>F43 * G43 * 0.7744</f>
        <v>8.3635200000000012</v>
      </c>
      <c r="K43" s="23">
        <f>F43 * G43 * 4506.298648</f>
        <v>48668.025398400001</v>
      </c>
      <c r="L43" s="23">
        <f>F43 * G43 * 1268.612803</f>
        <v>13701.018272400001</v>
      </c>
      <c r="M43" s="23">
        <f>F43 * G43 * 946.502552</f>
        <v>10222.227561600001</v>
      </c>
      <c r="N43" s="24">
        <f t="shared" si="4"/>
        <v>143568.49001400001</v>
      </c>
      <c r="O43" s="25">
        <f>IF(O3&gt;0,N43/O3/12,0)</f>
        <v>3.6612909876363002E-2</v>
      </c>
    </row>
    <row r="44" spans="2:15" ht="27.6" x14ac:dyDescent="0.3">
      <c r="B44" s="18">
        <v>34</v>
      </c>
      <c r="C44" s="19" t="s">
        <v>118</v>
      </c>
      <c r="D44" s="20" t="s">
        <v>119</v>
      </c>
      <c r="E44" s="20" t="s">
        <v>120</v>
      </c>
      <c r="F44" s="21">
        <v>2</v>
      </c>
      <c r="G44" s="22">
        <v>1</v>
      </c>
      <c r="H44" s="23">
        <f>F44 * G44 * 20087.5974</f>
        <v>40175.194799999997</v>
      </c>
      <c r="I44" s="23">
        <f>F44 * G44 * 38855.842688</f>
        <v>77711.685375999994</v>
      </c>
      <c r="J44" s="23">
        <f t="shared" ref="J44:J50" si="5">F44 * G44 * 0</f>
        <v>0</v>
      </c>
      <c r="K44" s="23">
        <f>F44 * G44 * 19127.410244</f>
        <v>38254.820487999998</v>
      </c>
      <c r="L44" s="23">
        <f>F44 * G44 * 8660.323015</f>
        <v>17320.64603</v>
      </c>
      <c r="M44" s="23">
        <f>F44 * G44 * 4017.51948</f>
        <v>8035.0389599999999</v>
      </c>
      <c r="N44" s="24">
        <f t="shared" si="4"/>
        <v>181497.38565400001</v>
      </c>
      <c r="O44" s="25">
        <f>IF(O3&gt;0,N44/O3/12,0)</f>
        <v>4.6285556274203367E-2</v>
      </c>
    </row>
    <row r="45" spans="2:15" x14ac:dyDescent="0.3">
      <c r="B45" s="18">
        <v>35</v>
      </c>
      <c r="C45" s="19" t="s">
        <v>121</v>
      </c>
      <c r="D45" s="20" t="s">
        <v>122</v>
      </c>
      <c r="E45" s="20" t="s">
        <v>123</v>
      </c>
      <c r="F45" s="21">
        <v>1</v>
      </c>
      <c r="G45" s="22">
        <v>1</v>
      </c>
      <c r="H45" s="23">
        <f>F45 * G45 * 22091.6052</f>
        <v>22091.605200000002</v>
      </c>
      <c r="I45" s="23">
        <f>F45 * G45 * 2518.786259</f>
        <v>2518.786259</v>
      </c>
      <c r="J45" s="23">
        <f t="shared" si="5"/>
        <v>0</v>
      </c>
      <c r="K45" s="23">
        <f>F45 * G45 * 21035.626471</f>
        <v>21035.626471</v>
      </c>
      <c r="L45" s="23">
        <f>F45 * G45 * 5281.787762</f>
        <v>5281.7877619999999</v>
      </c>
      <c r="M45" s="23">
        <f>F45 * G45 * 4418.32104</f>
        <v>4418.3210399999998</v>
      </c>
      <c r="N45" s="24">
        <f t="shared" si="4"/>
        <v>55346.126732000004</v>
      </c>
      <c r="O45" s="25">
        <f>IF(O3&gt;0,N45/O3/12,0)</f>
        <v>1.4114397594116089E-2</v>
      </c>
    </row>
    <row r="46" spans="2:15" x14ac:dyDescent="0.3">
      <c r="B46" s="18">
        <v>36</v>
      </c>
      <c r="C46" s="19" t="s">
        <v>124</v>
      </c>
      <c r="D46" s="20" t="s">
        <v>125</v>
      </c>
      <c r="E46" s="20" t="s">
        <v>126</v>
      </c>
      <c r="F46" s="21">
        <v>2</v>
      </c>
      <c r="G46" s="22">
        <v>1</v>
      </c>
      <c r="H46" s="23">
        <f>F46 * G46 * 31559.436</f>
        <v>63118.872000000003</v>
      </c>
      <c r="I46" s="23">
        <f>F46 * G46 * 56970.315578</f>
        <v>113940.631156</v>
      </c>
      <c r="J46" s="23">
        <f t="shared" si="5"/>
        <v>0</v>
      </c>
      <c r="K46" s="23">
        <f>F46 * G46 * 30050.8949589999</f>
        <v>60101.789917999798</v>
      </c>
      <c r="L46" s="23">
        <f>F46 * G46 * 13176.16231</f>
        <v>26352.324619999999</v>
      </c>
      <c r="M46" s="23">
        <f>F46 * G46 * 6311.8872</f>
        <v>12623.7744</v>
      </c>
      <c r="N46" s="24">
        <f t="shared" si="4"/>
        <v>276137.39209399978</v>
      </c>
      <c r="O46" s="25">
        <f>IF(O3&gt;0,N46/O3/12,0)</f>
        <v>7.0420699202489598E-2</v>
      </c>
    </row>
    <row r="47" spans="2:15" x14ac:dyDescent="0.3">
      <c r="B47" s="18">
        <v>37</v>
      </c>
      <c r="C47" s="19" t="s">
        <v>127</v>
      </c>
      <c r="D47" s="20" t="s">
        <v>128</v>
      </c>
      <c r="E47" s="20" t="s">
        <v>28</v>
      </c>
      <c r="F47" s="21">
        <v>0.1</v>
      </c>
      <c r="G47" s="22">
        <v>1</v>
      </c>
      <c r="H47" s="23">
        <f>F47 * G47 * 14990.7321</f>
        <v>1499.07321</v>
      </c>
      <c r="I47" s="23">
        <f>F47 * G47 * 42415.104734</f>
        <v>4241.5104734000006</v>
      </c>
      <c r="J47" s="23">
        <f t="shared" si="5"/>
        <v>0</v>
      </c>
      <c r="K47" s="23">
        <f>F47 * G47 * 14274.175106</f>
        <v>1427.4175106000002</v>
      </c>
      <c r="L47" s="23">
        <f>F47 * G47 * 7878.545707</f>
        <v>787.85457070000007</v>
      </c>
      <c r="M47" s="23">
        <f>F47 * G47 * 2998.14642</f>
        <v>299.81464199999999</v>
      </c>
      <c r="N47" s="24">
        <f t="shared" si="4"/>
        <v>8255.670406700001</v>
      </c>
      <c r="O47" s="25">
        <f>IF(O3&gt;0,N47/O3/12,0)</f>
        <v>2.105365296660772E-3</v>
      </c>
    </row>
    <row r="48" spans="2:15" x14ac:dyDescent="0.3">
      <c r="B48" s="18">
        <v>38</v>
      </c>
      <c r="C48" s="19" t="s">
        <v>129</v>
      </c>
      <c r="D48" s="20" t="s">
        <v>130</v>
      </c>
      <c r="E48" s="20" t="s">
        <v>28</v>
      </c>
      <c r="F48" s="21">
        <v>3</v>
      </c>
      <c r="G48" s="22">
        <v>1</v>
      </c>
      <c r="H48" s="23">
        <f>F48 * G48 * 12097.7838</f>
        <v>36293.3514</v>
      </c>
      <c r="I48" s="23">
        <f>F48 * G48 * 18920.744734</f>
        <v>56762.234202</v>
      </c>
      <c r="J48" s="23">
        <f t="shared" si="5"/>
        <v>0</v>
      </c>
      <c r="K48" s="23">
        <f>F48 * G48 * 11519.509734</f>
        <v>34558.529201999998</v>
      </c>
      <c r="L48" s="23">
        <f>F48 * G48 * 4743.026275</f>
        <v>14229.078825000001</v>
      </c>
      <c r="M48" s="23">
        <f>F48 * G48 * 2419.55676</f>
        <v>7258.6702800000003</v>
      </c>
      <c r="N48" s="24">
        <f t="shared" si="4"/>
        <v>149101.86390900001</v>
      </c>
      <c r="O48" s="25">
        <f>IF(O3&gt;0,N48/O3/12,0)</f>
        <v>3.8024033721923395E-2</v>
      </c>
    </row>
    <row r="49" spans="2:15" ht="27.6" x14ac:dyDescent="0.3">
      <c r="B49" s="18">
        <v>39</v>
      </c>
      <c r="C49" s="19" t="s">
        <v>131</v>
      </c>
      <c r="D49" s="20" t="s">
        <v>132</v>
      </c>
      <c r="E49" s="20" t="s">
        <v>120</v>
      </c>
      <c r="F49" s="21">
        <v>3</v>
      </c>
      <c r="G49" s="22">
        <v>1</v>
      </c>
      <c r="H49" s="23">
        <f>F49 * G49 * 16168.0662</f>
        <v>48504.198599999996</v>
      </c>
      <c r="I49" s="23">
        <f>F49 * G49 * 47912.58663</f>
        <v>143737.75988999999</v>
      </c>
      <c r="J49" s="23">
        <f t="shared" si="5"/>
        <v>0</v>
      </c>
      <c r="K49" s="23">
        <f>F49 * G49 * 15395.232636</f>
        <v>46185.697908000002</v>
      </c>
      <c r="L49" s="23">
        <f>F49 * G49 * 8725.852114</f>
        <v>26177.556341999996</v>
      </c>
      <c r="M49" s="23">
        <f>F49 * G49 * 3233.61324</f>
        <v>9700.8397199999999</v>
      </c>
      <c r="N49" s="24">
        <f t="shared" si="4"/>
        <v>274306.05245999998</v>
      </c>
      <c r="O49" s="25">
        <f>IF(O3&gt;0,N49/O3/12,0)</f>
        <v>6.9953670030795265E-2</v>
      </c>
    </row>
    <row r="50" spans="2:15" x14ac:dyDescent="0.3">
      <c r="B50" s="18">
        <v>40</v>
      </c>
      <c r="C50" s="19" t="s">
        <v>133</v>
      </c>
      <c r="D50" s="20" t="s">
        <v>134</v>
      </c>
      <c r="E50" s="20" t="s">
        <v>135</v>
      </c>
      <c r="F50" s="21">
        <v>0.3</v>
      </c>
      <c r="G50" s="22">
        <v>1</v>
      </c>
      <c r="H50" s="23">
        <f>F50 * G50 * 13963.3299</f>
        <v>4188.9989699999996</v>
      </c>
      <c r="I50" s="23">
        <f>F50 * G50 * 9271.503234</f>
        <v>2781.4509702</v>
      </c>
      <c r="J50" s="23">
        <f t="shared" si="5"/>
        <v>0</v>
      </c>
      <c r="K50" s="23">
        <f>F50 * G50 * 13295.882731</f>
        <v>3988.7648192999995</v>
      </c>
      <c r="L50" s="23">
        <f>F50 * G50 * 4148.616784</f>
        <v>1244.5850352</v>
      </c>
      <c r="M50" s="23">
        <f>F50 * G50 * 2792.66598</f>
        <v>837.79979400000002</v>
      </c>
      <c r="N50" s="24">
        <f t="shared" si="4"/>
        <v>13041.599588699999</v>
      </c>
      <c r="O50" s="25">
        <f>IF(O3&gt;0,N50/O3/12,0)</f>
        <v>3.3258754085811137E-3</v>
      </c>
    </row>
    <row r="51" spans="2:15" s="15" customFormat="1" ht="14.4" x14ac:dyDescent="0.3">
      <c r="B51" s="16"/>
      <c r="C51" s="17" t="s">
        <v>136</v>
      </c>
      <c r="D51" s="31" t="s">
        <v>137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2:15" ht="27.6" x14ac:dyDescent="0.3">
      <c r="B52" s="18">
        <v>41</v>
      </c>
      <c r="C52" s="19" t="s">
        <v>138</v>
      </c>
      <c r="D52" s="20" t="s">
        <v>139</v>
      </c>
      <c r="E52" s="20" t="s">
        <v>140</v>
      </c>
      <c r="F52" s="21">
        <v>0.25</v>
      </c>
      <c r="G52" s="22">
        <v>1</v>
      </c>
      <c r="H52" s="23">
        <f>F52 * G52 * 72681.626898</f>
        <v>18170.406724500001</v>
      </c>
      <c r="I52" s="23">
        <f>F52 * G52 * 5068.748408</f>
        <v>1267.1871020000001</v>
      </c>
      <c r="J52" s="23">
        <f>F52 * G52 * 13.299</f>
        <v>3.3247499999999999</v>
      </c>
      <c r="K52" s="23">
        <f>F52 * G52 * 69207.445133</f>
        <v>17301.86128325</v>
      </c>
      <c r="L52" s="23">
        <f>F52 * G52 * 17039.035428</f>
        <v>4259.7588569999998</v>
      </c>
      <c r="M52" s="23">
        <f>F52 * G52 * 14536.32538</f>
        <v>3634.0813450000001</v>
      </c>
      <c r="N52" s="24">
        <f t="shared" ref="N52:N74" si="6">SUM(H52:M52)</f>
        <v>44636.62006175</v>
      </c>
      <c r="O52" s="25">
        <f>IF(O3&gt;0,N52/O3/12,0)</f>
        <v>1.1383253716375675E-2</v>
      </c>
    </row>
    <row r="53" spans="2:15" ht="27.6" x14ac:dyDescent="0.3">
      <c r="B53" s="18">
        <v>42</v>
      </c>
      <c r="C53" s="19" t="s">
        <v>141</v>
      </c>
      <c r="D53" s="20" t="s">
        <v>142</v>
      </c>
      <c r="E53" s="20" t="s">
        <v>140</v>
      </c>
      <c r="F53" s="21">
        <v>0.11</v>
      </c>
      <c r="G53" s="22">
        <v>1</v>
      </c>
      <c r="H53" s="23">
        <f>F53 * G53 * 95872.896558</f>
        <v>10546.018621379999</v>
      </c>
      <c r="I53" s="23">
        <f>F53 * G53 * 7518.738088</f>
        <v>827.06118967999998</v>
      </c>
      <c r="J53" s="23">
        <f>F53 * G53 * 17.5956</f>
        <v>1.935516</v>
      </c>
      <c r="K53" s="23">
        <f>F53 * G53 * 91290.172103</f>
        <v>10041.918931330001</v>
      </c>
      <c r="L53" s="23">
        <f>F53 * G53 * 22563.705065</f>
        <v>2482.0075571499997</v>
      </c>
      <c r="M53" s="23">
        <f>F53 * G53 * 19174.579312</f>
        <v>2109.2037243200002</v>
      </c>
      <c r="N53" s="24">
        <f t="shared" si="6"/>
        <v>26008.145539859997</v>
      </c>
      <c r="O53" s="25">
        <f>IF(O3&gt;0,N53/O3/12,0)</f>
        <v>6.6326106000653062E-3</v>
      </c>
    </row>
    <row r="54" spans="2:15" x14ac:dyDescent="0.3">
      <c r="B54" s="18">
        <v>43</v>
      </c>
      <c r="C54" s="19" t="s">
        <v>143</v>
      </c>
      <c r="D54" s="20" t="s">
        <v>144</v>
      </c>
      <c r="E54" s="20" t="s">
        <v>145</v>
      </c>
      <c r="F54" s="21">
        <v>1</v>
      </c>
      <c r="G54" s="22">
        <v>1</v>
      </c>
      <c r="H54" s="23">
        <f>F54 * G54 * 18890.685307</f>
        <v>18890.685307</v>
      </c>
      <c r="I54" s="23">
        <f>F54 * G54 * 25888.384276</f>
        <v>25888.384276000001</v>
      </c>
      <c r="J54" s="23">
        <f t="shared" ref="J54:J71" si="7">F54 * G54 * 0</f>
        <v>0</v>
      </c>
      <c r="K54" s="23">
        <f>F54 * G54 * 17987.71055</f>
        <v>17987.71055</v>
      </c>
      <c r="L54" s="23">
        <f>F54 * G54 * 7020.488764</f>
        <v>7020.4887639999997</v>
      </c>
      <c r="M54" s="23">
        <f>F54 * G54 * 3778.137061</f>
        <v>3778.1370609999999</v>
      </c>
      <c r="N54" s="24">
        <f t="shared" si="6"/>
        <v>73565.405958000003</v>
      </c>
      <c r="O54" s="25">
        <f>IF(O3&gt;0,N54/O3/12,0)</f>
        <v>1.8760687516429699E-2</v>
      </c>
    </row>
    <row r="55" spans="2:15" ht="41.4" x14ac:dyDescent="0.3">
      <c r="B55" s="18">
        <v>44</v>
      </c>
      <c r="C55" s="19" t="s">
        <v>146</v>
      </c>
      <c r="D55" s="20" t="s">
        <v>147</v>
      </c>
      <c r="E55" s="20" t="s">
        <v>148</v>
      </c>
      <c r="F55" s="21">
        <v>0.62</v>
      </c>
      <c r="G55" s="22">
        <v>1</v>
      </c>
      <c r="H55" s="23">
        <f>F55 * G55 * 20492.3316</f>
        <v>12705.245592000001</v>
      </c>
      <c r="I55" s="23">
        <f>F55 * G55 * 11424.129299</f>
        <v>7082.96016538</v>
      </c>
      <c r="J55" s="23">
        <f t="shared" si="7"/>
        <v>0</v>
      </c>
      <c r="K55" s="23">
        <f>F55 * G55 * 19512.79815</f>
        <v>12097.934852999999</v>
      </c>
      <c r="L55" s="23">
        <f>F55 * G55 * 5858.175027</f>
        <v>3632.0685167400002</v>
      </c>
      <c r="M55" s="23">
        <f>F55 * G55 * 4098.46632</f>
        <v>2541.0491184000002</v>
      </c>
      <c r="N55" s="24">
        <f t="shared" si="6"/>
        <v>38059.258245519995</v>
      </c>
      <c r="O55" s="25">
        <f>IF(O3&gt;0,N55/O3/12,0)</f>
        <v>9.7058915362874289E-3</v>
      </c>
    </row>
    <row r="56" spans="2:15" ht="27.6" x14ac:dyDescent="0.3">
      <c r="B56" s="18">
        <v>45</v>
      </c>
      <c r="C56" s="19" t="s">
        <v>149</v>
      </c>
      <c r="D56" s="20" t="s">
        <v>150</v>
      </c>
      <c r="E56" s="20" t="s">
        <v>151</v>
      </c>
      <c r="F56" s="21">
        <v>10</v>
      </c>
      <c r="G56" s="22">
        <v>1</v>
      </c>
      <c r="H56" s="23">
        <f>F56 * G56 * 1690.05204</f>
        <v>16900.520400000001</v>
      </c>
      <c r="I56" s="23">
        <f>F56 * G56 * 278.320088</f>
        <v>2783.2008799999999</v>
      </c>
      <c r="J56" s="23">
        <f t="shared" si="7"/>
        <v>0</v>
      </c>
      <c r="K56" s="23">
        <f>F56 * G56 * 1609.267552</f>
        <v>16092.675520000001</v>
      </c>
      <c r="L56" s="23">
        <f>F56 * G56 * 413.101084</f>
        <v>4131.0108399999999</v>
      </c>
      <c r="M56" s="23">
        <f>F56 * G56 * 338.010408</f>
        <v>3380.1040800000001</v>
      </c>
      <c r="N56" s="24">
        <f t="shared" si="6"/>
        <v>43287.511720000002</v>
      </c>
      <c r="O56" s="25">
        <f>IF(O3&gt;0,N56/O3/12,0)</f>
        <v>1.1039203415887556E-2</v>
      </c>
    </row>
    <row r="57" spans="2:15" ht="27.6" x14ac:dyDescent="0.3">
      <c r="B57" s="18">
        <v>46</v>
      </c>
      <c r="C57" s="19" t="s">
        <v>152</v>
      </c>
      <c r="D57" s="20" t="s">
        <v>153</v>
      </c>
      <c r="E57" s="20" t="s">
        <v>154</v>
      </c>
      <c r="F57" s="21">
        <v>1752</v>
      </c>
      <c r="G57" s="22">
        <v>1</v>
      </c>
      <c r="H57" s="23">
        <f>F57 * G57 * 49.846212</f>
        <v>87330.563424000007</v>
      </c>
      <c r="I57" s="23">
        <f>F57 * G57 * 54.67171</f>
        <v>95784.835919999998</v>
      </c>
      <c r="J57" s="23">
        <f t="shared" si="7"/>
        <v>0</v>
      </c>
      <c r="K57" s="23">
        <f>F57 * G57 * 47.463563</f>
        <v>83156.162376000007</v>
      </c>
      <c r="L57" s="23">
        <f>F57 * G57 * 17.085802</f>
        <v>29934.325104000003</v>
      </c>
      <c r="M57" s="23">
        <f>F57 * G57 * 9.969242</f>
        <v>17466.111983999999</v>
      </c>
      <c r="N57" s="24">
        <f t="shared" si="6"/>
        <v>313671.998808</v>
      </c>
      <c r="O57" s="25">
        <f>IF(O3&gt;0,N57/O3/12,0)</f>
        <v>7.9992793836419454E-2</v>
      </c>
    </row>
    <row r="58" spans="2:15" x14ac:dyDescent="0.3">
      <c r="B58" s="18">
        <v>47</v>
      </c>
      <c r="C58" s="19" t="s">
        <v>155</v>
      </c>
      <c r="D58" s="20" t="s">
        <v>156</v>
      </c>
      <c r="E58" s="20" t="s">
        <v>154</v>
      </c>
      <c r="F58" s="21">
        <v>95</v>
      </c>
      <c r="G58" s="22">
        <v>1</v>
      </c>
      <c r="H58" s="23">
        <f>F58 * G58 * 16.615404</f>
        <v>1578.4633800000001</v>
      </c>
      <c r="I58" s="23">
        <f>F58 * G58 * 0.9775</f>
        <v>92.862499999999997</v>
      </c>
      <c r="J58" s="23">
        <f t="shared" si="7"/>
        <v>0</v>
      </c>
      <c r="K58" s="23">
        <f>F58 * G58 * 15.821188</f>
        <v>1503.01286</v>
      </c>
      <c r="L58" s="23">
        <f>F58 * G58 * 3.875772</f>
        <v>368.19833999999997</v>
      </c>
      <c r="M58" s="23">
        <f>F58 * G58 * 3.323081</f>
        <v>315.69269500000001</v>
      </c>
      <c r="N58" s="24">
        <f t="shared" si="6"/>
        <v>3858.2297750000002</v>
      </c>
      <c r="O58" s="25">
        <f>IF(O3&gt;0,N58/O3/12,0)</f>
        <v>9.8392773386834598E-4</v>
      </c>
    </row>
    <row r="59" spans="2:15" x14ac:dyDescent="0.3">
      <c r="B59" s="18">
        <v>48</v>
      </c>
      <c r="C59" s="19" t="s">
        <v>157</v>
      </c>
      <c r="D59" s="20" t="s">
        <v>158</v>
      </c>
      <c r="E59" s="20" t="s">
        <v>159</v>
      </c>
      <c r="F59" s="21">
        <v>38</v>
      </c>
      <c r="G59" s="22">
        <v>1</v>
      </c>
      <c r="H59" s="23">
        <f>F59 * G59 * 147.097122</f>
        <v>5589.6906360000003</v>
      </c>
      <c r="I59" s="23">
        <f>F59 * G59 * 71.566806</f>
        <v>2719.5386279999998</v>
      </c>
      <c r="J59" s="23">
        <f t="shared" si="7"/>
        <v>0</v>
      </c>
      <c r="K59" s="23">
        <f>F59 * G59 * 140.065879</f>
        <v>5322.5034020000003</v>
      </c>
      <c r="L59" s="23">
        <f>F59 * G59 * 40.9497439999999</f>
        <v>1556.0902719999963</v>
      </c>
      <c r="M59" s="23">
        <f>F59 * G59 * 29.419424</f>
        <v>1117.938112</v>
      </c>
      <c r="N59" s="24">
        <f t="shared" si="6"/>
        <v>16305.761049999996</v>
      </c>
      <c r="O59" s="25">
        <f>IF(O3&gt;0,N59/O3/12,0)</f>
        <v>4.1583035367366728E-3</v>
      </c>
    </row>
    <row r="60" spans="2:15" x14ac:dyDescent="0.3">
      <c r="B60" s="18">
        <v>49</v>
      </c>
      <c r="C60" s="19" t="s">
        <v>160</v>
      </c>
      <c r="D60" s="20" t="s">
        <v>161</v>
      </c>
      <c r="E60" s="20" t="s">
        <v>162</v>
      </c>
      <c r="F60" s="21">
        <v>39</v>
      </c>
      <c r="G60" s="22">
        <v>1</v>
      </c>
      <c r="H60" s="23">
        <f>F60 * G60 * 41.53851</f>
        <v>1620.00189</v>
      </c>
      <c r="I60" s="23">
        <f>F60 * G60 * 86.865212</f>
        <v>3387.7432680000002</v>
      </c>
      <c r="J60" s="23">
        <f t="shared" si="7"/>
        <v>0</v>
      </c>
      <c r="K60" s="23">
        <f>F60 * G60 * 39.55297</f>
        <v>1542.56583</v>
      </c>
      <c r="L60" s="23">
        <f>F60 * G60 * 18.595894</f>
        <v>725.23986600000001</v>
      </c>
      <c r="M60" s="23">
        <f>F60 * G60 * 8.307702</f>
        <v>324.00037800000001</v>
      </c>
      <c r="N60" s="24">
        <f t="shared" si="6"/>
        <v>7599.5512319999989</v>
      </c>
      <c r="O60" s="25">
        <f>IF(O3&gt;0,N60/O3/12,0)</f>
        <v>1.9380414485858754E-3</v>
      </c>
    </row>
    <row r="61" spans="2:15" x14ac:dyDescent="0.3">
      <c r="B61" s="18">
        <v>50</v>
      </c>
      <c r="C61" s="19" t="s">
        <v>163</v>
      </c>
      <c r="D61" s="20" t="s">
        <v>164</v>
      </c>
      <c r="E61" s="20" t="s">
        <v>165</v>
      </c>
      <c r="F61" s="21">
        <v>0.5</v>
      </c>
      <c r="G61" s="22">
        <v>1</v>
      </c>
      <c r="H61" s="23">
        <f>F61 * G61 * 29575.41912</f>
        <v>14787.709559999999</v>
      </c>
      <c r="I61" s="23">
        <f>F61 * G61 * 66259.511856</f>
        <v>33129.755927999999</v>
      </c>
      <c r="J61" s="23">
        <f t="shared" si="7"/>
        <v>0</v>
      </c>
      <c r="K61" s="23">
        <f>F61 * G61 * 28161.714086</f>
        <v>14080.857043</v>
      </c>
      <c r="L61" s="23">
        <f>F61 * G61 * 13705.687397</f>
        <v>6852.8436984999998</v>
      </c>
      <c r="M61" s="23">
        <f>F61 * G61 * 5915.083824</f>
        <v>2957.5419120000001</v>
      </c>
      <c r="N61" s="24">
        <f t="shared" si="6"/>
        <v>71808.708141499999</v>
      </c>
      <c r="O61" s="25">
        <f>IF(O3&gt;0,N61/O3/12,0)</f>
        <v>1.831269353927464E-2</v>
      </c>
    </row>
    <row r="62" spans="2:15" x14ac:dyDescent="0.3">
      <c r="B62" s="18">
        <v>51</v>
      </c>
      <c r="C62" s="19" t="s">
        <v>166</v>
      </c>
      <c r="D62" s="20" t="s">
        <v>167</v>
      </c>
      <c r="E62" s="20" t="s">
        <v>165</v>
      </c>
      <c r="F62" s="21">
        <v>0.11</v>
      </c>
      <c r="G62" s="22">
        <v>1</v>
      </c>
      <c r="H62" s="23">
        <f>F62 * G62 * 20270.79288</f>
        <v>2229.7872167999999</v>
      </c>
      <c r="I62" s="23">
        <f>F62 * G62 * 60359.8064</f>
        <v>6639.5787040000005</v>
      </c>
      <c r="J62" s="23">
        <f t="shared" si="7"/>
        <v>0</v>
      </c>
      <c r="K62" s="23">
        <f>F62 * G62 * 19301.84898</f>
        <v>2123.2033877999997</v>
      </c>
      <c r="L62" s="23">
        <f>F62 * G62 * 10970.587021</f>
        <v>1206.7645723099999</v>
      </c>
      <c r="M62" s="23">
        <f>F62 * G62 * 4054.158576</f>
        <v>445.95744335999996</v>
      </c>
      <c r="N62" s="24">
        <f t="shared" si="6"/>
        <v>12645.29132427</v>
      </c>
      <c r="O62" s="25">
        <f>IF(O3&gt;0,N62/O3/12,0)</f>
        <v>3.2248086719495698E-3</v>
      </c>
    </row>
    <row r="63" spans="2:15" x14ac:dyDescent="0.3">
      <c r="B63" s="18">
        <v>52</v>
      </c>
      <c r="C63" s="19" t="s">
        <v>168</v>
      </c>
      <c r="D63" s="20" t="s">
        <v>169</v>
      </c>
      <c r="E63" s="20" t="s">
        <v>87</v>
      </c>
      <c r="F63" s="21">
        <v>2</v>
      </c>
      <c r="G63" s="22">
        <v>1</v>
      </c>
      <c r="H63" s="23">
        <f>F63 * G63 * 18409.671</f>
        <v>36819.341999999997</v>
      </c>
      <c r="I63" s="23">
        <f>F63 * G63 * 3090.784109</f>
        <v>6181.5682180000003</v>
      </c>
      <c r="J63" s="23">
        <f t="shared" si="7"/>
        <v>0</v>
      </c>
      <c r="K63" s="23">
        <f>F63 * G63 * 17529.688726</f>
        <v>35059.377452000001</v>
      </c>
      <c r="L63" s="23">
        <f>F63 * G63 * 4506.124233</f>
        <v>9012.2484659999991</v>
      </c>
      <c r="M63" s="23">
        <f>F63 * G63 * 3681.9342</f>
        <v>7363.8684000000003</v>
      </c>
      <c r="N63" s="24">
        <f t="shared" si="6"/>
        <v>94436.404536000002</v>
      </c>
      <c r="O63" s="25">
        <f>IF(O3&gt;0,N63/O3/12,0)</f>
        <v>2.4083220266418914E-2</v>
      </c>
    </row>
    <row r="64" spans="2:15" ht="27.6" x14ac:dyDescent="0.3">
      <c r="B64" s="18">
        <v>53</v>
      </c>
      <c r="C64" s="19" t="s">
        <v>170</v>
      </c>
      <c r="D64" s="20" t="s">
        <v>171</v>
      </c>
      <c r="E64" s="20" t="s">
        <v>172</v>
      </c>
      <c r="F64" s="21">
        <v>10</v>
      </c>
      <c r="G64" s="22">
        <v>1</v>
      </c>
      <c r="H64" s="23">
        <f>F64 * G64 * 651.40249</f>
        <v>6514.0248999999994</v>
      </c>
      <c r="I64" s="23">
        <f>F64 * G64 * 1675.782218</f>
        <v>16757.822179999999</v>
      </c>
      <c r="J64" s="23">
        <f t="shared" si="7"/>
        <v>0</v>
      </c>
      <c r="K64" s="23">
        <f>F64 * G64 * 620.26545</f>
        <v>6202.6544999999996</v>
      </c>
      <c r="L64" s="23">
        <f>F64 * G64 * 324.700584</f>
        <v>3247.0058399999998</v>
      </c>
      <c r="M64" s="23">
        <f>F64 * G64 * 130.280498</f>
        <v>1302.8049799999999</v>
      </c>
      <c r="N64" s="24">
        <f t="shared" si="6"/>
        <v>34024.312400000003</v>
      </c>
      <c r="O64" s="25">
        <f>IF(O3&gt;0,N64/O3/12,0)</f>
        <v>8.6768975795799164E-3</v>
      </c>
    </row>
    <row r="65" spans="2:15" x14ac:dyDescent="0.3">
      <c r="B65" s="18">
        <v>54</v>
      </c>
      <c r="C65" s="19" t="s">
        <v>173</v>
      </c>
      <c r="D65" s="20" t="s">
        <v>174</v>
      </c>
      <c r="E65" s="20" t="s">
        <v>175</v>
      </c>
      <c r="F65" s="21">
        <v>3</v>
      </c>
      <c r="G65" s="22">
        <v>1</v>
      </c>
      <c r="H65" s="23">
        <f>F65 * G65 * 2769.234</f>
        <v>8307.7019999999993</v>
      </c>
      <c r="I65" s="23">
        <f>F65 * G65 * 748.992</f>
        <v>2246.9759999999997</v>
      </c>
      <c r="J65" s="23">
        <f t="shared" si="7"/>
        <v>0</v>
      </c>
      <c r="K65" s="23">
        <f>F65 * G65 * 2636.864615</f>
        <v>7910.5938449999994</v>
      </c>
      <c r="L65" s="23">
        <f>F65 * G65 * 707.792896999999</f>
        <v>2123.3786909999972</v>
      </c>
      <c r="M65" s="23">
        <f>F65 * G65 * 553.8468</f>
        <v>1661.5404000000001</v>
      </c>
      <c r="N65" s="24">
        <f t="shared" si="6"/>
        <v>22250.190935999999</v>
      </c>
      <c r="O65" s="25">
        <f>IF(O3&gt;0,N65/O3/12,0)</f>
        <v>5.6742550917140465E-3</v>
      </c>
    </row>
    <row r="66" spans="2:15" ht="27.6" x14ac:dyDescent="0.3">
      <c r="B66" s="18">
        <v>55</v>
      </c>
      <c r="C66" s="19" t="s">
        <v>176</v>
      </c>
      <c r="D66" s="20" t="s">
        <v>177</v>
      </c>
      <c r="E66" s="20" t="s">
        <v>151</v>
      </c>
      <c r="F66" s="21">
        <v>5</v>
      </c>
      <c r="G66" s="22">
        <v>1</v>
      </c>
      <c r="H66" s="23">
        <f>F66 * G66 * 1377.07944</f>
        <v>6885.3971999999994</v>
      </c>
      <c r="I66" s="23">
        <f>F66 * G66 * 236.302088</f>
        <v>1181.51044</v>
      </c>
      <c r="J66" s="23">
        <f t="shared" si="7"/>
        <v>0</v>
      </c>
      <c r="K66" s="23">
        <f>F66 * G66 * 1311.255043</f>
        <v>6556.2752149999997</v>
      </c>
      <c r="L66" s="23">
        <f>F66 * G66 * 337.605534</f>
        <v>1688.0276699999999</v>
      </c>
      <c r="M66" s="23">
        <f>F66 * G66 * 275.415888</f>
        <v>1377.07944</v>
      </c>
      <c r="N66" s="24">
        <f t="shared" si="6"/>
        <v>17688.289965</v>
      </c>
      <c r="O66" s="25">
        <f>IF(O3&gt;0,N66/O3/12,0)</f>
        <v>4.5108767689370334E-3</v>
      </c>
    </row>
    <row r="67" spans="2:15" x14ac:dyDescent="0.3">
      <c r="B67" s="18">
        <v>56</v>
      </c>
      <c r="C67" s="19" t="s">
        <v>178</v>
      </c>
      <c r="D67" s="20" t="s">
        <v>179</v>
      </c>
      <c r="E67" s="20" t="s">
        <v>180</v>
      </c>
      <c r="F67" s="21">
        <v>0.4</v>
      </c>
      <c r="G67" s="22">
        <v>1</v>
      </c>
      <c r="H67" s="23">
        <f>F67 * G67 * 4153.851</f>
        <v>1661.5403999999999</v>
      </c>
      <c r="I67" s="23">
        <f>F67 * G67 * 7866.72464</f>
        <v>3146.6898560000004</v>
      </c>
      <c r="J67" s="23">
        <f t="shared" si="7"/>
        <v>0</v>
      </c>
      <c r="K67" s="23">
        <f>F67 * G67 * 3955.296922</f>
        <v>1582.1187688</v>
      </c>
      <c r="L67" s="23">
        <f>F67 * G67 * 1773.100812</f>
        <v>709.24032480000005</v>
      </c>
      <c r="M67" s="23">
        <f>F67 * G67 * 830.7702</f>
        <v>332.30808000000002</v>
      </c>
      <c r="N67" s="24">
        <f t="shared" si="6"/>
        <v>7431.8974296000006</v>
      </c>
      <c r="O67" s="25">
        <f>IF(O3&gt;0,N67/O3/12,0)</f>
        <v>1.8952862900054506E-3</v>
      </c>
    </row>
    <row r="68" spans="2:15" x14ac:dyDescent="0.3">
      <c r="B68" s="18">
        <v>57</v>
      </c>
      <c r="C68" s="19" t="s">
        <v>181</v>
      </c>
      <c r="D68" s="20" t="s">
        <v>182</v>
      </c>
      <c r="E68" s="20" t="s">
        <v>87</v>
      </c>
      <c r="F68" s="21">
        <v>2.5</v>
      </c>
      <c r="G68" s="22">
        <v>1</v>
      </c>
      <c r="H68" s="23">
        <f>F68 * G68 * 19842.6267</f>
        <v>49606.566749999998</v>
      </c>
      <c r="I68" s="23">
        <f>F68 * G68 * 2619.946662</f>
        <v>6549.8666549999998</v>
      </c>
      <c r="J68" s="23">
        <f t="shared" si="7"/>
        <v>0</v>
      </c>
      <c r="K68" s="23">
        <f>F68 * G68 * 18894.149144</f>
        <v>47235.372859999996</v>
      </c>
      <c r="L68" s="23">
        <f>F68 * G68 * 4781.813647</f>
        <v>11954.534117499999</v>
      </c>
      <c r="M68" s="23">
        <f>F68 * G68 * 3968.52534</f>
        <v>9921.3133500000004</v>
      </c>
      <c r="N68" s="24">
        <f t="shared" si="6"/>
        <v>125267.6537325</v>
      </c>
      <c r="O68" s="25">
        <f>IF(O3&gt;0,N68/O3/12,0)</f>
        <v>3.1945821231972475E-2</v>
      </c>
    </row>
    <row r="69" spans="2:15" ht="27.6" x14ac:dyDescent="0.3">
      <c r="B69" s="18">
        <v>58</v>
      </c>
      <c r="C69" s="19" t="s">
        <v>183</v>
      </c>
      <c r="D69" s="20" t="s">
        <v>184</v>
      </c>
      <c r="E69" s="20" t="s">
        <v>185</v>
      </c>
      <c r="F69" s="21">
        <v>10</v>
      </c>
      <c r="G69" s="22">
        <v>1</v>
      </c>
      <c r="H69" s="23">
        <f>F69 * G69 * 1533.56574</f>
        <v>15335.6574</v>
      </c>
      <c r="I69" s="23">
        <f>F69 * G69 * 147.043581</f>
        <v>1470.4358099999999</v>
      </c>
      <c r="J69" s="23">
        <f t="shared" si="7"/>
        <v>0</v>
      </c>
      <c r="K69" s="23">
        <f>F69 * G69 * 1460.261298</f>
        <v>14602.612979999998</v>
      </c>
      <c r="L69" s="23">
        <f>F69 * G69 * 363.720088</f>
        <v>3637.2008799999999</v>
      </c>
      <c r="M69" s="23">
        <f>F69 * G69 * 306.713148</f>
        <v>3067.13148</v>
      </c>
      <c r="N69" s="24">
        <f t="shared" si="6"/>
        <v>38113.038549999997</v>
      </c>
      <c r="O69" s="25">
        <f>IF(O3&gt;0,N69/O3/12,0)</f>
        <v>9.7196066170886393E-3</v>
      </c>
    </row>
    <row r="70" spans="2:15" ht="27.6" x14ac:dyDescent="0.3">
      <c r="B70" s="18">
        <v>59</v>
      </c>
      <c r="C70" s="19" t="s">
        <v>186</v>
      </c>
      <c r="D70" s="20" t="s">
        <v>187</v>
      </c>
      <c r="E70" s="20" t="s">
        <v>46</v>
      </c>
      <c r="F70" s="21">
        <v>15</v>
      </c>
      <c r="G70" s="22">
        <v>1</v>
      </c>
      <c r="H70" s="23">
        <f>F70 * G70 * 1549.21437</f>
        <v>23238.215549999997</v>
      </c>
      <c r="I70" s="23">
        <f>F70 * G70 * 4810.438543</f>
        <v>72156.578145000007</v>
      </c>
      <c r="J70" s="23">
        <f t="shared" si="7"/>
        <v>0</v>
      </c>
      <c r="K70" s="23">
        <f>F70 * G70 * 1475.161924</f>
        <v>22127.42886</v>
      </c>
      <c r="L70" s="23">
        <f>F70 * G70 * 859.261389</f>
        <v>12888.920835000001</v>
      </c>
      <c r="M70" s="23">
        <f>F70 * G70 * 309.842874</f>
        <v>4647.64311</v>
      </c>
      <c r="N70" s="24">
        <f t="shared" si="6"/>
        <v>135058.78649999999</v>
      </c>
      <c r="O70" s="25">
        <f>IF(O3&gt;0,N70/O3/12,0)</f>
        <v>3.4442760926532361E-2</v>
      </c>
    </row>
    <row r="71" spans="2:15" ht="55.2" x14ac:dyDescent="0.3">
      <c r="B71" s="18">
        <v>60</v>
      </c>
      <c r="C71" s="19" t="s">
        <v>188</v>
      </c>
      <c r="D71" s="20" t="s">
        <v>189</v>
      </c>
      <c r="E71" s="20" t="s">
        <v>190</v>
      </c>
      <c r="F71" s="21">
        <v>1</v>
      </c>
      <c r="G71" s="22">
        <v>1</v>
      </c>
      <c r="H71" s="23">
        <f>F71 * G71 * 12705.245592</f>
        <v>12705.245591999999</v>
      </c>
      <c r="I71" s="23">
        <f>F71 * G71 * 40928.524204</f>
        <v>40928.524204000001</v>
      </c>
      <c r="J71" s="23">
        <f t="shared" si="7"/>
        <v>0</v>
      </c>
      <c r="K71" s="23">
        <f>F71 * G71 * 12097.934853</f>
        <v>12097.934853000001</v>
      </c>
      <c r="L71" s="23">
        <f>F71 * G71 * 7202.77552299999</f>
        <v>7202.7755229999902</v>
      </c>
      <c r="M71" s="23">
        <f>F71 * G71 * 2541.049118</f>
        <v>2541.0491179999999</v>
      </c>
      <c r="N71" s="24">
        <f t="shared" si="6"/>
        <v>75475.529289999991</v>
      </c>
      <c r="O71" s="25">
        <f>IF(O3&gt;0,N71/O3/12,0)</f>
        <v>1.9247808147150509E-2</v>
      </c>
    </row>
    <row r="72" spans="2:15" ht="27.6" x14ac:dyDescent="0.3">
      <c r="B72" s="18">
        <v>61</v>
      </c>
      <c r="C72" s="19" t="s">
        <v>191</v>
      </c>
      <c r="D72" s="20" t="s">
        <v>192</v>
      </c>
      <c r="E72" s="20" t="s">
        <v>193</v>
      </c>
      <c r="F72" s="21">
        <v>1</v>
      </c>
      <c r="G72" s="22">
        <v>1</v>
      </c>
      <c r="H72" s="23">
        <f>F72 * G72 * 111601.880225</f>
        <v>111601.880225</v>
      </c>
      <c r="I72" s="23">
        <f>F72 * G72 * 16808.01263</f>
        <v>16808.012630000001</v>
      </c>
      <c r="J72" s="23">
        <f>F72 * G72 * 475.988832</f>
        <v>475.988832</v>
      </c>
      <c r="K72" s="23">
        <f>F72 * G72 * 106673.921456999</f>
        <v>106673.921456999</v>
      </c>
      <c r="L72" s="23">
        <f>F72 * G72 * 27215.369086</f>
        <v>27215.369085999999</v>
      </c>
      <c r="M72" s="23">
        <f>F72 * G72 * 22405.780604</f>
        <v>22405.780604</v>
      </c>
      <c r="N72" s="24">
        <f t="shared" si="6"/>
        <v>285180.95283399906</v>
      </c>
      <c r="O72" s="25">
        <f>IF(O3&gt;0,N72/O3/12,0)</f>
        <v>7.2726992695600248E-2</v>
      </c>
    </row>
    <row r="73" spans="2:15" ht="41.4" x14ac:dyDescent="0.3">
      <c r="B73" s="18">
        <v>62</v>
      </c>
      <c r="C73" s="19" t="s">
        <v>194</v>
      </c>
      <c r="D73" s="20" t="s">
        <v>195</v>
      </c>
      <c r="E73" s="20" t="s">
        <v>196</v>
      </c>
      <c r="F73" s="21">
        <v>0.6</v>
      </c>
      <c r="G73" s="22">
        <v>1</v>
      </c>
      <c r="H73" s="23">
        <f>F73 * G73 * 97717.845456</f>
        <v>58630.707273599997</v>
      </c>
      <c r="I73" s="23">
        <f>F73 * G73 * 16808.01263</f>
        <v>10084.807578</v>
      </c>
      <c r="J73" s="23">
        <f>F73 * G73 * 10.53184</f>
        <v>6.3191040000000003</v>
      </c>
      <c r="K73" s="23">
        <f>F73 * G73 * 93046.932443</f>
        <v>55828.159465799996</v>
      </c>
      <c r="L73" s="23">
        <f>F73 * G73 * 23961.887049</f>
        <v>14377.1322294</v>
      </c>
      <c r="M73" s="23">
        <f>F73 * G73 * 19543.569091</f>
        <v>11726.1414546</v>
      </c>
      <c r="N73" s="24">
        <f t="shared" si="6"/>
        <v>150653.26710539998</v>
      </c>
      <c r="O73" s="25">
        <f>IF(O3&gt;0,N73/O3/12,0)</f>
        <v>3.8419673359884027E-2</v>
      </c>
    </row>
    <row r="74" spans="2:15" ht="27.6" x14ac:dyDescent="0.3">
      <c r="B74" s="18">
        <v>63</v>
      </c>
      <c r="C74" s="19" t="s">
        <v>197</v>
      </c>
      <c r="D74" s="20" t="s">
        <v>198</v>
      </c>
      <c r="E74" s="20" t="s">
        <v>199</v>
      </c>
      <c r="F74" s="21">
        <v>3.0249999999999999</v>
      </c>
      <c r="G74" s="22">
        <v>1</v>
      </c>
      <c r="H74" s="23">
        <f>F74 * G74 * 52444.428595</f>
        <v>158644.396499875</v>
      </c>
      <c r="I74" s="23">
        <f>F74 * G74 * 570835.269572</f>
        <v>1726776.6904553</v>
      </c>
      <c r="J74" s="23">
        <f>F74 * G74 * 3123.284472</f>
        <v>9447.9355277999985</v>
      </c>
      <c r="K74" s="23">
        <f>F74 * G74 * 51488.205594</f>
        <v>155751.82192185</v>
      </c>
      <c r="L74" s="23">
        <f>F74 * G74 * 72658.458332</f>
        <v>219791.83645429998</v>
      </c>
      <c r="M74" s="23">
        <f>F74 * G74 * 10814.577945</f>
        <v>32714.098283625</v>
      </c>
      <c r="N74" s="24">
        <f t="shared" si="6"/>
        <v>2303126.7791427504</v>
      </c>
      <c r="O74" s="25">
        <f>IF(O3&gt;0,N74/O3/12,0)</f>
        <v>0.58734457115463767</v>
      </c>
    </row>
    <row r="75" spans="2:15" s="15" customFormat="1" ht="14.4" x14ac:dyDescent="0.3">
      <c r="B75" s="16"/>
      <c r="C75" s="17" t="s">
        <v>200</v>
      </c>
      <c r="D75" s="31" t="s">
        <v>201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2:15" x14ac:dyDescent="0.3">
      <c r="B76" s="18">
        <v>64</v>
      </c>
      <c r="C76" s="19" t="s">
        <v>202</v>
      </c>
      <c r="D76" s="20" t="s">
        <v>203</v>
      </c>
      <c r="E76" s="20" t="s">
        <v>123</v>
      </c>
      <c r="F76" s="21">
        <v>0.2</v>
      </c>
      <c r="G76" s="22">
        <v>1</v>
      </c>
      <c r="H76" s="23">
        <f>F76 * G76 * 16615.404</f>
        <v>3323.0807999999997</v>
      </c>
      <c r="I76" s="23">
        <f>F76 * G76 * 14054.4993</f>
        <v>2810.89986</v>
      </c>
      <c r="J76" s="23">
        <f t="shared" ref="J76:J83" si="8">F76 * G76 * 0</f>
        <v>0</v>
      </c>
      <c r="K76" s="23">
        <f>F76 * G76 * 15821.187689</f>
        <v>3164.2375378000002</v>
      </c>
      <c r="L76" s="23">
        <f>F76 * G76 * 5255.395124</f>
        <v>1051.0790248000001</v>
      </c>
      <c r="M76" s="23">
        <f>F76 * G76 * 3323.0808</f>
        <v>664.61616000000004</v>
      </c>
      <c r="N76" s="24">
        <f t="shared" ref="N76:N83" si="9">SUM(H76:M76)</f>
        <v>11013.913382599998</v>
      </c>
      <c r="O76" s="25">
        <f>IF(O3&gt;0,N76/O3/12,0)</f>
        <v>2.8087738334775215E-3</v>
      </c>
    </row>
    <row r="77" spans="2:15" ht="27.6" x14ac:dyDescent="0.3">
      <c r="B77" s="18">
        <v>65</v>
      </c>
      <c r="C77" s="19" t="s">
        <v>204</v>
      </c>
      <c r="D77" s="20" t="s">
        <v>205</v>
      </c>
      <c r="E77" s="20" t="s">
        <v>206</v>
      </c>
      <c r="F77" s="21">
        <v>0.2</v>
      </c>
      <c r="G77" s="22">
        <v>1</v>
      </c>
      <c r="H77" s="23">
        <f>F77 * G77 * 6092.3148</f>
        <v>1218.4629600000001</v>
      </c>
      <c r="I77" s="23">
        <f>F77 * G77 * 3413.249378</f>
        <v>682.64987560000009</v>
      </c>
      <c r="J77" s="23">
        <f t="shared" si="8"/>
        <v>0</v>
      </c>
      <c r="K77" s="23">
        <f>F77 * G77 * 5801.102153</f>
        <v>1160.2204306000001</v>
      </c>
      <c r="L77" s="23">
        <f>F77 * G77 * 1743.40114</f>
        <v>348.680228</v>
      </c>
      <c r="M77" s="23">
        <f>F77 * G77 * 1218.46296</f>
        <v>243.69259200000002</v>
      </c>
      <c r="N77" s="24">
        <f t="shared" si="9"/>
        <v>3653.7060862000003</v>
      </c>
      <c r="O77" s="25">
        <f>IF(O3&gt;0,N77/O3/12,0)</f>
        <v>9.3176999796901671E-4</v>
      </c>
    </row>
    <row r="78" spans="2:15" x14ac:dyDescent="0.3">
      <c r="B78" s="18">
        <v>66</v>
      </c>
      <c r="C78" s="19" t="s">
        <v>207</v>
      </c>
      <c r="D78" s="20" t="s">
        <v>208</v>
      </c>
      <c r="E78" s="20" t="s">
        <v>120</v>
      </c>
      <c r="F78" s="21">
        <v>0.3</v>
      </c>
      <c r="G78" s="22">
        <v>1</v>
      </c>
      <c r="H78" s="23">
        <f>F78 * G78 * 14400.0168</f>
        <v>4320.00504</v>
      </c>
      <c r="I78" s="23">
        <f>F78 * G78 * 46481.365805</f>
        <v>13944.4097415</v>
      </c>
      <c r="J78" s="23">
        <f t="shared" si="8"/>
        <v>0</v>
      </c>
      <c r="K78" s="23">
        <f>F78 * G78 * 13711.695997</f>
        <v>4113.5087991</v>
      </c>
      <c r="L78" s="23">
        <f>F78 * G78 * 8173.410147</f>
        <v>2452.0230440999999</v>
      </c>
      <c r="M78" s="23">
        <f>F78 * G78 * 2880.00336</f>
        <v>864.00100800000007</v>
      </c>
      <c r="N78" s="24">
        <f t="shared" si="9"/>
        <v>25693.947632699997</v>
      </c>
      <c r="O78" s="25">
        <f>IF(O3&gt;0,N78/O3/12,0)</f>
        <v>6.5524836888115256E-3</v>
      </c>
    </row>
    <row r="79" spans="2:15" x14ac:dyDescent="0.3">
      <c r="B79" s="18">
        <v>67</v>
      </c>
      <c r="C79" s="19" t="s">
        <v>209</v>
      </c>
      <c r="D79" s="20" t="s">
        <v>210</v>
      </c>
      <c r="E79" s="20" t="s">
        <v>120</v>
      </c>
      <c r="F79" s="21">
        <v>0.2</v>
      </c>
      <c r="G79" s="22">
        <v>1</v>
      </c>
      <c r="H79" s="23">
        <f>F79 * G79 * 8030.7786</f>
        <v>1606.15572</v>
      </c>
      <c r="I79" s="23">
        <f>F79 * G79 * 6811.9168</f>
        <v>1362.38336</v>
      </c>
      <c r="J79" s="23">
        <f t="shared" si="8"/>
        <v>0</v>
      </c>
      <c r="K79" s="23">
        <f>F79 * G79 * 7646.907383</f>
        <v>1529.3814766</v>
      </c>
      <c r="L79" s="23">
        <f>F79 * G79 * 2542.10252299999</f>
        <v>508.42050459999803</v>
      </c>
      <c r="M79" s="23">
        <f>F79 * G79 * 1606.15572</f>
        <v>321.23114400000003</v>
      </c>
      <c r="N79" s="24">
        <f t="shared" si="9"/>
        <v>5327.5722051999983</v>
      </c>
      <c r="O79" s="25">
        <f>IF(O3&gt;0,N79/O3/12,0)</f>
        <v>1.3586401931912986E-3</v>
      </c>
    </row>
    <row r="80" spans="2:15" ht="27.6" x14ac:dyDescent="0.3">
      <c r="B80" s="18">
        <v>68</v>
      </c>
      <c r="C80" s="19" t="s">
        <v>211</v>
      </c>
      <c r="D80" s="20" t="s">
        <v>212</v>
      </c>
      <c r="E80" s="20" t="s">
        <v>213</v>
      </c>
      <c r="F80" s="21">
        <v>91</v>
      </c>
      <c r="G80" s="22">
        <v>0.2</v>
      </c>
      <c r="H80" s="23">
        <f>F80 * G80 * 21634.92738</f>
        <v>393755.67831599998</v>
      </c>
      <c r="I80" s="23">
        <f>F80 * G80 * 1787.75201</f>
        <v>32537.086581999996</v>
      </c>
      <c r="J80" s="23">
        <f t="shared" si="8"/>
        <v>0</v>
      </c>
      <c r="K80" s="23">
        <f>F80 * G80 * 20600.777851</f>
        <v>374934.15688819997</v>
      </c>
      <c r="L80" s="23">
        <f>F80 * G80 * 5100.971707</f>
        <v>92837.685067399987</v>
      </c>
      <c r="M80" s="23">
        <f>F80 * G80 * 4326.985476</f>
        <v>78751.135663199995</v>
      </c>
      <c r="N80" s="24">
        <f t="shared" si="9"/>
        <v>972815.74251680006</v>
      </c>
      <c r="O80" s="25">
        <f>IF(O3&gt;0,N80/O3/12,0)</f>
        <v>0.24808796904948657</v>
      </c>
    </row>
    <row r="81" spans="2:15" x14ac:dyDescent="0.3">
      <c r="B81" s="18">
        <v>69</v>
      </c>
      <c r="C81" s="19" t="s">
        <v>214</v>
      </c>
      <c r="D81" s="20" t="s">
        <v>215</v>
      </c>
      <c r="E81" s="20" t="s">
        <v>216</v>
      </c>
      <c r="F81" s="21">
        <v>0.3</v>
      </c>
      <c r="G81" s="22">
        <v>1</v>
      </c>
      <c r="H81" s="23">
        <f>F81 * G81 * 22617.5958</f>
        <v>6785.2787399999997</v>
      </c>
      <c r="I81" s="23">
        <f>F81 * G81 * 6648.627857</f>
        <v>1994.5883570999999</v>
      </c>
      <c r="J81" s="23">
        <f t="shared" si="8"/>
        <v>0</v>
      </c>
      <c r="K81" s="23">
        <f>F81 * G81 * 21536.474721</f>
        <v>6460.9424162999994</v>
      </c>
      <c r="L81" s="23">
        <f>F81 * G81 * 5836.915951</f>
        <v>1751.0747853</v>
      </c>
      <c r="M81" s="23">
        <f>F81 * G81 * 4523.51916</f>
        <v>1357.055748</v>
      </c>
      <c r="N81" s="24">
        <f t="shared" si="9"/>
        <v>18348.940046699998</v>
      </c>
      <c r="O81" s="25">
        <f>IF(O3&gt;0,N81/O3/12,0)</f>
        <v>4.6793560912363422E-3</v>
      </c>
    </row>
    <row r="82" spans="2:15" ht="27.6" x14ac:dyDescent="0.3">
      <c r="B82" s="18">
        <v>70</v>
      </c>
      <c r="C82" s="19" t="s">
        <v>217</v>
      </c>
      <c r="D82" s="20" t="s">
        <v>218</v>
      </c>
      <c r="E82" s="20" t="s">
        <v>65</v>
      </c>
      <c r="F82" s="21">
        <v>44</v>
      </c>
      <c r="G82" s="22">
        <v>0.2</v>
      </c>
      <c r="H82" s="23">
        <f>F82 * G82 * 9993.8214</f>
        <v>87945.628320000018</v>
      </c>
      <c r="I82" s="23">
        <f>F82 * G82 * 2250.111144</f>
        <v>19800.978067200002</v>
      </c>
      <c r="J82" s="23">
        <f t="shared" si="8"/>
        <v>0</v>
      </c>
      <c r="K82" s="23">
        <f>F82 * G82 * 9516.116737</f>
        <v>83741.827285600011</v>
      </c>
      <c r="L82" s="23">
        <f>F82 * G82 * 2506.554831</f>
        <v>22057.682512800002</v>
      </c>
      <c r="M82" s="23">
        <f>F82 * G82 * 1998.76428</f>
        <v>17589.125664000003</v>
      </c>
      <c r="N82" s="24">
        <f t="shared" si="9"/>
        <v>231135.24184960002</v>
      </c>
      <c r="O82" s="25">
        <f>IF(O3&gt;0,N82/O3/12,0)</f>
        <v>5.89442277916662E-2</v>
      </c>
    </row>
    <row r="83" spans="2:15" x14ac:dyDescent="0.3">
      <c r="B83" s="18">
        <v>71</v>
      </c>
      <c r="C83" s="19" t="s">
        <v>219</v>
      </c>
      <c r="D83" s="20" t="s">
        <v>220</v>
      </c>
      <c r="E83" s="20" t="s">
        <v>221</v>
      </c>
      <c r="F83" s="21">
        <v>3.87</v>
      </c>
      <c r="G83" s="22">
        <v>1</v>
      </c>
      <c r="H83" s="23">
        <f>F83 * G83 * 3261.14172</f>
        <v>12620.618456400001</v>
      </c>
      <c r="I83" s="23">
        <f>F83 * G83 * 490.852973</f>
        <v>1899.60100551</v>
      </c>
      <c r="J83" s="23">
        <f t="shared" si="8"/>
        <v>0</v>
      </c>
      <c r="K83" s="23">
        <f>F83 * G83 * 3105.259146</f>
        <v>12017.35289502</v>
      </c>
      <c r="L83" s="23">
        <f>F83 * G83 * 792.25037</f>
        <v>3066.0089318999999</v>
      </c>
      <c r="M83" s="23">
        <f>F83 * G83 * 652.228344</f>
        <v>2524.12369128</v>
      </c>
      <c r="N83" s="24">
        <f t="shared" si="9"/>
        <v>32127.704980110004</v>
      </c>
      <c r="O83" s="25">
        <f>IF(O3&gt;0,N83/O3/12,0)</f>
        <v>8.1932237836898694E-3</v>
      </c>
    </row>
    <row r="84" spans="2:15" s="15" customFormat="1" ht="14.4" x14ac:dyDescent="0.3">
      <c r="B84" s="16"/>
      <c r="C84" s="17" t="s">
        <v>222</v>
      </c>
      <c r="D84" s="31" t="s">
        <v>223</v>
      </c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2:15" ht="41.4" x14ac:dyDescent="0.3">
      <c r="B85" s="18">
        <v>72</v>
      </c>
      <c r="C85" s="19" t="s">
        <v>224</v>
      </c>
      <c r="D85" s="20" t="s">
        <v>225</v>
      </c>
      <c r="E85" s="20" t="s">
        <v>226</v>
      </c>
      <c r="F85" s="21">
        <v>0.5</v>
      </c>
      <c r="G85" s="22">
        <v>1</v>
      </c>
      <c r="H85" s="23">
        <f>F85 * G85 * 29192.4783</f>
        <v>14596.239149999999</v>
      </c>
      <c r="I85" s="23">
        <f>F85 * G85 * 28339.754888</f>
        <v>14169.877444</v>
      </c>
      <c r="J85" s="23">
        <f t="shared" ref="J85:J93" si="10">F85 * G85 * 0</f>
        <v>0</v>
      </c>
      <c r="K85" s="23">
        <f>F85 * G85 * 27797.077837</f>
        <v>13898.5389185</v>
      </c>
      <c r="L85" s="23">
        <f>F85 * G85 * 9618.203605</f>
        <v>4809.1018025000003</v>
      </c>
      <c r="M85" s="23">
        <f>F85 * G85 * 5838.49566</f>
        <v>2919.2478299999998</v>
      </c>
      <c r="N85" s="24">
        <f t="shared" ref="N85:N93" si="11">SUM(H85:M85)</f>
        <v>50393.005145000003</v>
      </c>
      <c r="O85" s="25">
        <f>IF(O3&gt;0,N85/O3/12,0)</f>
        <v>1.285124998941665E-2</v>
      </c>
    </row>
    <row r="86" spans="2:15" ht="27.6" x14ac:dyDescent="0.3">
      <c r="B86" s="18">
        <v>73</v>
      </c>
      <c r="C86" s="19" t="s">
        <v>227</v>
      </c>
      <c r="D86" s="20" t="s">
        <v>228</v>
      </c>
      <c r="E86" s="20" t="s">
        <v>229</v>
      </c>
      <c r="F86" s="21">
        <v>0.2</v>
      </c>
      <c r="G86" s="22">
        <v>1</v>
      </c>
      <c r="H86" s="23">
        <f>F86 * G86 * 28929.483</f>
        <v>5785.8966</v>
      </c>
      <c r="I86" s="23">
        <f>F86 * G86 * 1017936.669</f>
        <v>203587.33380000002</v>
      </c>
      <c r="J86" s="23">
        <f t="shared" si="10"/>
        <v>0</v>
      </c>
      <c r="K86" s="23">
        <f>F86 * G86 * 27546.653713</f>
        <v>5509.3307426000001</v>
      </c>
      <c r="L86" s="23">
        <f>F86 * G86 * 113960.963094</f>
        <v>22792.192618800003</v>
      </c>
      <c r="M86" s="23">
        <f>F86 * G86 * 5785.8966</f>
        <v>1157.17932</v>
      </c>
      <c r="N86" s="24">
        <f t="shared" si="11"/>
        <v>238831.93308140003</v>
      </c>
      <c r="O86" s="25">
        <f>IF(O3&gt;0,N86/O3/12,0)</f>
        <v>6.090704193276783E-2</v>
      </c>
    </row>
    <row r="87" spans="2:15" ht="27.6" x14ac:dyDescent="0.3">
      <c r="B87" s="18">
        <v>74</v>
      </c>
      <c r="C87" s="19" t="s">
        <v>230</v>
      </c>
      <c r="D87" s="20" t="s">
        <v>231</v>
      </c>
      <c r="E87" s="20" t="s">
        <v>232</v>
      </c>
      <c r="F87" s="21">
        <v>1</v>
      </c>
      <c r="G87" s="22">
        <v>1</v>
      </c>
      <c r="H87" s="23">
        <f>F87 * G87 * 80750.86344</f>
        <v>80750.863440000001</v>
      </c>
      <c r="I87" s="23">
        <f>F87 * G87 * 2395.36534</f>
        <v>2395.3653399999998</v>
      </c>
      <c r="J87" s="23">
        <f t="shared" si="10"/>
        <v>0</v>
      </c>
      <c r="K87" s="23">
        <f>F87 * G87 * 76890.972168</f>
        <v>76890.972167999993</v>
      </c>
      <c r="L87" s="23">
        <f>F87 * G87 * 18587.767918</f>
        <v>18587.767918000001</v>
      </c>
      <c r="M87" s="23">
        <f>F87 * G87 * 16150.172688</f>
        <v>16150.172688000001</v>
      </c>
      <c r="N87" s="24">
        <f t="shared" si="11"/>
        <v>194775.141554</v>
      </c>
      <c r="O87" s="25">
        <f>IF(O3&gt;0,N87/O3/12,0)</f>
        <v>4.9671656386279774E-2</v>
      </c>
    </row>
    <row r="88" spans="2:15" ht="41.4" x14ac:dyDescent="0.3">
      <c r="B88" s="18">
        <v>75</v>
      </c>
      <c r="C88" s="19" t="s">
        <v>233</v>
      </c>
      <c r="D88" s="20" t="s">
        <v>234</v>
      </c>
      <c r="E88" s="20" t="s">
        <v>235</v>
      </c>
      <c r="F88" s="21">
        <v>35</v>
      </c>
      <c r="G88" s="22">
        <v>1</v>
      </c>
      <c r="H88" s="23">
        <f>F88 * G88 * 31601.2203</f>
        <v>1106042.7105</v>
      </c>
      <c r="I88" s="23">
        <f>F88 * G88 * 2517.01004</f>
        <v>88095.3514</v>
      </c>
      <c r="J88" s="23">
        <f t="shared" si="10"/>
        <v>0</v>
      </c>
      <c r="K88" s="23">
        <f>F88 * G88 * 30090.6819699999</f>
        <v>1053173.8689499965</v>
      </c>
      <c r="L88" s="23">
        <f>F88 * G88 * 7440.825997</f>
        <v>260428.90989499999</v>
      </c>
      <c r="M88" s="23">
        <f>F88 * G88 * 6320.24406</f>
        <v>221208.54209999999</v>
      </c>
      <c r="N88" s="24">
        <f t="shared" si="11"/>
        <v>2728949.3828449966</v>
      </c>
      <c r="O88" s="25">
        <f>IF(O3&gt;0,N88/O3/12,0)</f>
        <v>0.69593806970817307</v>
      </c>
    </row>
    <row r="89" spans="2:15" x14ac:dyDescent="0.3">
      <c r="B89" s="18">
        <v>76</v>
      </c>
      <c r="C89" s="19" t="s">
        <v>236</v>
      </c>
      <c r="D89" s="20" t="s">
        <v>237</v>
      </c>
      <c r="E89" s="20" t="s">
        <v>238</v>
      </c>
      <c r="F89" s="21">
        <v>5</v>
      </c>
      <c r="G89" s="22">
        <v>1</v>
      </c>
      <c r="H89" s="23">
        <f>F89 * G89 * 650.983008</f>
        <v>3254.9150400000003</v>
      </c>
      <c r="I89" s="23">
        <f>F89 * G89 * 35729.201966</f>
        <v>178646.00983</v>
      </c>
      <c r="J89" s="23">
        <f t="shared" si="10"/>
        <v>0</v>
      </c>
      <c r="K89" s="23">
        <f>F89 * G89 * 619.86602</f>
        <v>3099.3301000000001</v>
      </c>
      <c r="L89" s="23">
        <f>F89 * G89 * 3917.241121</f>
        <v>19586.205604999999</v>
      </c>
      <c r="M89" s="23">
        <f>F89 * G89 * 130.196602</f>
        <v>650.98301000000004</v>
      </c>
      <c r="N89" s="24">
        <f t="shared" si="11"/>
        <v>205237.44358499997</v>
      </c>
      <c r="O89" s="25">
        <f>IF(O3&gt;0,N89/O3/12,0)</f>
        <v>5.2339758010270798E-2</v>
      </c>
    </row>
    <row r="90" spans="2:15" x14ac:dyDescent="0.3">
      <c r="B90" s="18">
        <v>77</v>
      </c>
      <c r="C90" s="19" t="s">
        <v>239</v>
      </c>
      <c r="D90" s="20" t="s">
        <v>240</v>
      </c>
      <c r="E90" s="20" t="s">
        <v>238</v>
      </c>
      <c r="F90" s="21">
        <v>2</v>
      </c>
      <c r="G90" s="22">
        <v>1</v>
      </c>
      <c r="H90" s="23">
        <f>F90 * G90 * 791.820678</f>
        <v>1583.6413560000001</v>
      </c>
      <c r="I90" s="23">
        <f>F90 * G90 * 119397</f>
        <v>238794</v>
      </c>
      <c r="J90" s="23">
        <f t="shared" si="10"/>
        <v>0</v>
      </c>
      <c r="K90" s="23">
        <f>F90 * G90 * 753.97165</f>
        <v>1507.9432999999999</v>
      </c>
      <c r="L90" s="23">
        <f>F90 * G90 * 12776.172007</f>
        <v>25552.344013999998</v>
      </c>
      <c r="M90" s="23">
        <f>F90 * G90 * 158.364136</f>
        <v>316.728272</v>
      </c>
      <c r="N90" s="24">
        <f t="shared" si="11"/>
        <v>267754.65694199997</v>
      </c>
      <c r="O90" s="25">
        <f>IF(O3&gt;0,N90/O3/12,0)</f>
        <v>6.8282929789384675E-2</v>
      </c>
    </row>
    <row r="91" spans="2:15" x14ac:dyDescent="0.3">
      <c r="B91" s="18">
        <v>78</v>
      </c>
      <c r="C91" s="19" t="s">
        <v>241</v>
      </c>
      <c r="D91" s="20" t="s">
        <v>242</v>
      </c>
      <c r="E91" s="20" t="s">
        <v>243</v>
      </c>
      <c r="F91" s="21">
        <v>0.19</v>
      </c>
      <c r="G91" s="22">
        <v>1</v>
      </c>
      <c r="H91" s="23">
        <f>F91 * G91 * 73638.684</f>
        <v>13991.34996</v>
      </c>
      <c r="I91" s="23">
        <f>F91 * G91 * 620808.236611</f>
        <v>117953.56495609001</v>
      </c>
      <c r="J91" s="23">
        <f t="shared" si="10"/>
        <v>0</v>
      </c>
      <c r="K91" s="23">
        <f>F91 * G91 * 70118.754905</f>
        <v>13322.563431949999</v>
      </c>
      <c r="L91" s="23">
        <f>F91 * G91 * 82215.455</f>
        <v>15620.936450000001</v>
      </c>
      <c r="M91" s="23">
        <f>F91 * G91 * 14727.7368</f>
        <v>2798.269992</v>
      </c>
      <c r="N91" s="24">
        <f t="shared" si="11"/>
        <v>163686.68479003999</v>
      </c>
      <c r="O91" s="25">
        <f>IF(O3&gt;0,N91/O3/12,0)</f>
        <v>4.1743462215100009E-2</v>
      </c>
    </row>
    <row r="92" spans="2:15" x14ac:dyDescent="0.3">
      <c r="B92" s="18">
        <v>79</v>
      </c>
      <c r="C92" s="19" t="s">
        <v>244</v>
      </c>
      <c r="D92" s="20" t="s">
        <v>245</v>
      </c>
      <c r="E92" s="20" t="s">
        <v>246</v>
      </c>
      <c r="F92" s="21">
        <v>6</v>
      </c>
      <c r="G92" s="22">
        <v>1</v>
      </c>
      <c r="H92" s="23">
        <f>F92 * G92 * 16274.5752</f>
        <v>97647.451199999996</v>
      </c>
      <c r="I92" s="23">
        <f>F92 * G92 * 11728.348393</f>
        <v>70370.090358000001</v>
      </c>
      <c r="J92" s="23">
        <f t="shared" si="10"/>
        <v>0</v>
      </c>
      <c r="K92" s="23">
        <f>F92 * G92 * 15496.650505</f>
        <v>92979.903030000001</v>
      </c>
      <c r="L92" s="23">
        <f>F92 * G92 * 4932.598604</f>
        <v>29595.591624000001</v>
      </c>
      <c r="M92" s="23">
        <f>F92 * G92 * 3254.91504</f>
        <v>19529.490239999999</v>
      </c>
      <c r="N92" s="24">
        <f t="shared" si="11"/>
        <v>310122.52645200002</v>
      </c>
      <c r="O92" s="25">
        <f>IF(O3&gt;0,N92/O3/12,0)</f>
        <v>7.9087605577727052E-2</v>
      </c>
    </row>
    <row r="93" spans="2:15" ht="27.6" x14ac:dyDescent="0.3">
      <c r="B93" s="18">
        <v>80</v>
      </c>
      <c r="C93" s="19" t="s">
        <v>247</v>
      </c>
      <c r="D93" s="20" t="s">
        <v>248</v>
      </c>
      <c r="E93" s="20" t="s">
        <v>249</v>
      </c>
      <c r="F93" s="21">
        <v>0.7</v>
      </c>
      <c r="G93" s="22">
        <v>1</v>
      </c>
      <c r="H93" s="23">
        <f>F93 * G93 * 32444.28</f>
        <v>22710.995999999999</v>
      </c>
      <c r="I93" s="23">
        <f>F93 * G93 * 37756.094501</f>
        <v>26429.266150699998</v>
      </c>
      <c r="J93" s="23">
        <f t="shared" si="10"/>
        <v>0</v>
      </c>
      <c r="K93" s="23">
        <f>F93 * G93 * 30893.443416</f>
        <v>21625.410391199999</v>
      </c>
      <c r="L93" s="23">
        <f>F93 * G93 * 11349.972099</f>
        <v>7944.9804692999996</v>
      </c>
      <c r="M93" s="23">
        <f>F93 * G93 * 6488.856</f>
        <v>4542.1991999999991</v>
      </c>
      <c r="N93" s="24">
        <f t="shared" si="11"/>
        <v>83252.852211200006</v>
      </c>
      <c r="O93" s="25">
        <f>IF(O3&gt;0,N93/O3/12,0)</f>
        <v>2.1231185022992139E-2</v>
      </c>
    </row>
    <row r="94" spans="2:15" s="15" customFormat="1" ht="14.4" x14ac:dyDescent="0.3">
      <c r="B94" s="16"/>
      <c r="C94" s="17" t="s">
        <v>250</v>
      </c>
      <c r="D94" s="31" t="s">
        <v>251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</row>
    <row r="95" spans="2:15" ht="41.4" x14ac:dyDescent="0.3">
      <c r="B95" s="18">
        <v>81</v>
      </c>
      <c r="C95" s="19" t="s">
        <v>252</v>
      </c>
      <c r="D95" s="20" t="s">
        <v>253</v>
      </c>
      <c r="E95" s="20" t="s">
        <v>254</v>
      </c>
      <c r="F95" s="21">
        <v>3.5</v>
      </c>
      <c r="G95" s="22">
        <v>1</v>
      </c>
      <c r="H95" s="23">
        <f>F95 * G95 * 22591.29627</f>
        <v>79069.536945</v>
      </c>
      <c r="I95" s="23">
        <f>F95 * G95 * 14015.461288</f>
        <v>49054.114507999999</v>
      </c>
      <c r="J95" s="23">
        <f t="shared" ref="J95:J107" si="12">F95 * G95 * 0</f>
        <v>0</v>
      </c>
      <c r="K95" s="23">
        <f>F95 * G95 * 21511.432308</f>
        <v>75290.013078000004</v>
      </c>
      <c r="L95" s="23">
        <f>F95 * G95 * 6608.145383</f>
        <v>23128.508840499999</v>
      </c>
      <c r="M95" s="23">
        <f>F95 * G95 * 4518.259254</f>
        <v>15813.907388999998</v>
      </c>
      <c r="N95" s="24">
        <f t="shared" ref="N95:N107" si="13">SUM(H95:M95)</f>
        <v>242356.08076050002</v>
      </c>
      <c r="O95" s="25">
        <f>IF(O3&gt;0,N95/O3/12,0)</f>
        <v>6.1805771879382854E-2</v>
      </c>
    </row>
    <row r="96" spans="2:15" ht="41.4" x14ac:dyDescent="0.3">
      <c r="B96" s="18">
        <v>82</v>
      </c>
      <c r="C96" s="19" t="s">
        <v>255</v>
      </c>
      <c r="D96" s="20" t="s">
        <v>256</v>
      </c>
      <c r="E96" s="20" t="s">
        <v>254</v>
      </c>
      <c r="F96" s="21">
        <v>0.4</v>
      </c>
      <c r="G96" s="22">
        <v>1</v>
      </c>
      <c r="H96" s="23">
        <f>F96 * G96 * 30375.95715</f>
        <v>12150.38286</v>
      </c>
      <c r="I96" s="23">
        <f>F96 * G96 * 28426.50676</f>
        <v>11370.602704000001</v>
      </c>
      <c r="J96" s="23">
        <f t="shared" si="12"/>
        <v>0</v>
      </c>
      <c r="K96" s="23">
        <f>F96 * G96 * 28923.986399</f>
        <v>11569.594559600002</v>
      </c>
      <c r="L96" s="23">
        <f>F96 * G96 * 9896.073204</f>
        <v>3958.4292816000002</v>
      </c>
      <c r="M96" s="23">
        <f>F96 * G96 * 6075.19143</f>
        <v>2430.0765719999999</v>
      </c>
      <c r="N96" s="24">
        <f t="shared" si="13"/>
        <v>41479.085977200004</v>
      </c>
      <c r="O96" s="25">
        <f>IF(O3&gt;0,N96/O3/12,0)</f>
        <v>1.0578017756466225E-2</v>
      </c>
    </row>
    <row r="97" spans="2:15" ht="41.4" x14ac:dyDescent="0.3">
      <c r="B97" s="18">
        <v>83</v>
      </c>
      <c r="C97" s="19" t="s">
        <v>257</v>
      </c>
      <c r="D97" s="20" t="s">
        <v>258</v>
      </c>
      <c r="E97" s="20" t="s">
        <v>216</v>
      </c>
      <c r="F97" s="21">
        <v>0.1</v>
      </c>
      <c r="G97" s="22">
        <v>1</v>
      </c>
      <c r="H97" s="23">
        <f>F97 * G97 * 10246.1658</f>
        <v>1024.6165800000001</v>
      </c>
      <c r="I97" s="23">
        <f>F97 * G97 * 66982.0876</f>
        <v>6698.2087600000004</v>
      </c>
      <c r="J97" s="23">
        <f t="shared" si="12"/>
        <v>0</v>
      </c>
      <c r="K97" s="23">
        <f>F97 * G97 * 9756.399075</f>
        <v>975.63990749999994</v>
      </c>
      <c r="L97" s="23">
        <f>F97 * G97 * 9393.07493399999</f>
        <v>939.30749339999898</v>
      </c>
      <c r="M97" s="23">
        <f>F97 * G97 * 2049.23316</f>
        <v>204.92331600000003</v>
      </c>
      <c r="N97" s="24">
        <f t="shared" si="13"/>
        <v>9842.6960569000003</v>
      </c>
      <c r="O97" s="25">
        <f>IF(O3&gt;0,N97/O3/12,0)</f>
        <v>2.5100893910395793E-3</v>
      </c>
    </row>
    <row r="98" spans="2:15" x14ac:dyDescent="0.3">
      <c r="B98" s="18">
        <v>84</v>
      </c>
      <c r="C98" s="19" t="s">
        <v>259</v>
      </c>
      <c r="D98" s="20" t="s">
        <v>260</v>
      </c>
      <c r="E98" s="20" t="s">
        <v>261</v>
      </c>
      <c r="F98" s="21">
        <v>0.3</v>
      </c>
      <c r="G98" s="22">
        <v>1</v>
      </c>
      <c r="H98" s="23">
        <f>F98 * G98 * 8982.31362</f>
        <v>2694.694086</v>
      </c>
      <c r="I98" s="23">
        <f>F98 * G98 * 8130.491216</f>
        <v>2439.1473648000001</v>
      </c>
      <c r="J98" s="23">
        <f t="shared" si="12"/>
        <v>0</v>
      </c>
      <c r="K98" s="23">
        <f>F98 * G98 * 8552.959029</f>
        <v>2565.8877086999996</v>
      </c>
      <c r="L98" s="23">
        <f>F98 * G98 * 2897.264905</f>
        <v>869.17947149999998</v>
      </c>
      <c r="M98" s="23">
        <f>F98 * G98 * 1796.462724</f>
        <v>538.93881720000002</v>
      </c>
      <c r="N98" s="24">
        <f t="shared" si="13"/>
        <v>9107.8474482000001</v>
      </c>
      <c r="O98" s="25">
        <f>IF(O3&gt;0,N98/O3/12,0)</f>
        <v>2.3226879223713485E-3</v>
      </c>
    </row>
    <row r="99" spans="2:15" ht="41.4" x14ac:dyDescent="0.3">
      <c r="B99" s="18">
        <v>85</v>
      </c>
      <c r="C99" s="19" t="s">
        <v>262</v>
      </c>
      <c r="D99" s="20" t="s">
        <v>263</v>
      </c>
      <c r="E99" s="20" t="s">
        <v>264</v>
      </c>
      <c r="F99" s="21">
        <v>10</v>
      </c>
      <c r="G99" s="22">
        <v>1</v>
      </c>
      <c r="H99" s="23">
        <f>F99 * G99 * 36.000042</f>
        <v>360.00042000000002</v>
      </c>
      <c r="I99" s="23">
        <f>F99 * G99 * 4.066835</f>
        <v>40.668350000000004</v>
      </c>
      <c r="J99" s="23">
        <f t="shared" si="12"/>
        <v>0</v>
      </c>
      <c r="K99" s="23">
        <f>F99 * G99 * 34.27924</f>
        <v>342.79240000000004</v>
      </c>
      <c r="L99" s="23">
        <f>F99 * G99 * 8.603117</f>
        <v>86.031169999999989</v>
      </c>
      <c r="M99" s="23">
        <f>F99 * G99 * 7.200008</f>
        <v>72.000079999999997</v>
      </c>
      <c r="N99" s="24">
        <f t="shared" si="13"/>
        <v>901.49242000000004</v>
      </c>
      <c r="O99" s="25">
        <f>IF(O3&gt;0,N99/O3/12,0)</f>
        <v>2.2989905880089559E-4</v>
      </c>
    </row>
    <row r="100" spans="2:15" ht="27.6" x14ac:dyDescent="0.3">
      <c r="B100" s="18">
        <v>86</v>
      </c>
      <c r="C100" s="19" t="s">
        <v>265</v>
      </c>
      <c r="D100" s="20" t="s">
        <v>266</v>
      </c>
      <c r="E100" s="20" t="s">
        <v>267</v>
      </c>
      <c r="F100" s="21">
        <v>47</v>
      </c>
      <c r="G100" s="22">
        <v>12</v>
      </c>
      <c r="H100" s="23">
        <f>F100 * G100 * 262.896984</f>
        <v>148273.898976</v>
      </c>
      <c r="I100" s="23">
        <f>F100 * G100 * 0</f>
        <v>0</v>
      </c>
      <c r="J100" s="23">
        <f t="shared" si="12"/>
        <v>0</v>
      </c>
      <c r="K100" s="23">
        <f>F100 * G100 * 250.330509</f>
        <v>141186.407076</v>
      </c>
      <c r="L100" s="23">
        <f>F100 * G100 * 59.692626</f>
        <v>33666.641063999996</v>
      </c>
      <c r="M100" s="23">
        <f>F100 * G100 * 52.579397</f>
        <v>29654.779908</v>
      </c>
      <c r="N100" s="24">
        <f t="shared" si="13"/>
        <v>352781.72702400002</v>
      </c>
      <c r="O100" s="25">
        <f>IF(O3&gt;0,N100/O3/12,0)</f>
        <v>8.9966576762755338E-2</v>
      </c>
    </row>
    <row r="101" spans="2:15" ht="41.4" x14ac:dyDescent="0.3">
      <c r="B101" s="18">
        <v>87</v>
      </c>
      <c r="C101" s="19" t="s">
        <v>268</v>
      </c>
      <c r="D101" s="20" t="s">
        <v>269</v>
      </c>
      <c r="E101" s="20" t="s">
        <v>270</v>
      </c>
      <c r="F101" s="21">
        <v>38</v>
      </c>
      <c r="G101" s="22">
        <v>12</v>
      </c>
      <c r="H101" s="23">
        <f>F101 * G101 * 291.064518</f>
        <v>132725.420208</v>
      </c>
      <c r="I101" s="23">
        <f>F101 * G101 * 0</f>
        <v>0</v>
      </c>
      <c r="J101" s="23">
        <f t="shared" si="12"/>
        <v>0</v>
      </c>
      <c r="K101" s="23">
        <f>F101 * G101 * 277.151634</f>
        <v>126381.145104</v>
      </c>
      <c r="L101" s="23">
        <f>F101 * G101 * 66.0882649999999</f>
        <v>30136.248839999953</v>
      </c>
      <c r="M101" s="23">
        <f>F101 * G101 * 58.212904</f>
        <v>26545.084224000002</v>
      </c>
      <c r="N101" s="24">
        <f t="shared" si="13"/>
        <v>315787.89837599994</v>
      </c>
      <c r="O101" s="25">
        <f>IF(O3&gt;0,N101/O3/12,0)</f>
        <v>8.053239162826821E-2</v>
      </c>
    </row>
    <row r="102" spans="2:15" ht="27.6" x14ac:dyDescent="0.3">
      <c r="B102" s="18">
        <v>88</v>
      </c>
      <c r="C102" s="19" t="s">
        <v>271</v>
      </c>
      <c r="D102" s="20" t="s">
        <v>272</v>
      </c>
      <c r="E102" s="20" t="s">
        <v>273</v>
      </c>
      <c r="F102" s="21">
        <v>121</v>
      </c>
      <c r="G102" s="22">
        <v>1</v>
      </c>
      <c r="H102" s="23">
        <f>F102 * G102 * 1567.992726</f>
        <v>189727.11984599999</v>
      </c>
      <c r="I102" s="23">
        <f>F102 * G102 * 0</f>
        <v>0</v>
      </c>
      <c r="J102" s="23">
        <f t="shared" si="12"/>
        <v>0</v>
      </c>
      <c r="K102" s="23">
        <f>F102 * G102 * 1493.042674</f>
        <v>180658.163554</v>
      </c>
      <c r="L102" s="23">
        <f>F102 * G102 * 356.023881</f>
        <v>43078.889601000003</v>
      </c>
      <c r="M102" s="23">
        <f>F102 * G102 * 313.598545</f>
        <v>37945.423945000002</v>
      </c>
      <c r="N102" s="24">
        <f t="shared" si="13"/>
        <v>451409.59694599995</v>
      </c>
      <c r="O102" s="25">
        <f>IF(O3&gt;0,N102/O3/12,0)</f>
        <v>0.11511870667928303</v>
      </c>
    </row>
    <row r="103" spans="2:15" ht="27.6" x14ac:dyDescent="0.3">
      <c r="B103" s="18">
        <v>89</v>
      </c>
      <c r="C103" s="19" t="s">
        <v>274</v>
      </c>
      <c r="D103" s="20" t="s">
        <v>275</v>
      </c>
      <c r="E103" s="20" t="s">
        <v>273</v>
      </c>
      <c r="F103" s="21">
        <v>55</v>
      </c>
      <c r="G103" s="22">
        <v>1</v>
      </c>
      <c r="H103" s="23">
        <f>F103 * G103 * 3270.56367</f>
        <v>179881.00185</v>
      </c>
      <c r="I103" s="23">
        <f>F103 * G103 * 0</f>
        <v>0</v>
      </c>
      <c r="J103" s="23">
        <f t="shared" si="12"/>
        <v>0</v>
      </c>
      <c r="K103" s="23">
        <f>F103 * G103 * 3114.230727</f>
        <v>171282.689985</v>
      </c>
      <c r="L103" s="23">
        <f>F103 * G103 * 742.604703</f>
        <v>40843.258665000001</v>
      </c>
      <c r="M103" s="23">
        <f>F103 * G103 * 654.112734</f>
        <v>35976.200370000006</v>
      </c>
      <c r="N103" s="24">
        <f t="shared" si="13"/>
        <v>427983.15087000001</v>
      </c>
      <c r="O103" s="25">
        <f>IF(O3&gt;0,N103/O3/12,0)</f>
        <v>0.1091444823991473</v>
      </c>
    </row>
    <row r="104" spans="2:15" x14ac:dyDescent="0.3">
      <c r="B104" s="18">
        <v>90</v>
      </c>
      <c r="C104" s="19" t="s">
        <v>276</v>
      </c>
      <c r="D104" s="20" t="s">
        <v>277</v>
      </c>
      <c r="E104" s="20" t="s">
        <v>278</v>
      </c>
      <c r="F104" s="21">
        <v>3</v>
      </c>
      <c r="G104" s="22">
        <v>1</v>
      </c>
      <c r="H104" s="23">
        <f>F104 * G104 * 2150.482254</f>
        <v>6451.4467619999996</v>
      </c>
      <c r="I104" s="23">
        <f>F104 * G104 * 8547.326</f>
        <v>25641.977999999996</v>
      </c>
      <c r="J104" s="23">
        <f t="shared" si="12"/>
        <v>0</v>
      </c>
      <c r="K104" s="23">
        <f>F104 * G104 * 2047.689202</f>
        <v>6143.0676060000005</v>
      </c>
      <c r="L104" s="23">
        <f>F104 * G104 * 1390.025158</f>
        <v>4170.0754739999993</v>
      </c>
      <c r="M104" s="23">
        <f>F104 * G104 * 430.096451</f>
        <v>1290.2893530000001</v>
      </c>
      <c r="N104" s="24">
        <f t="shared" si="13"/>
        <v>43696.85719499999</v>
      </c>
      <c r="O104" s="25">
        <f>IF(O3&gt;0,N104/O3/12,0)</f>
        <v>1.114359490863788E-2</v>
      </c>
    </row>
    <row r="105" spans="2:15" ht="27.6" x14ac:dyDescent="0.3">
      <c r="B105" s="18">
        <v>91</v>
      </c>
      <c r="C105" s="19" t="s">
        <v>279</v>
      </c>
      <c r="D105" s="20" t="s">
        <v>280</v>
      </c>
      <c r="E105" s="20" t="s">
        <v>281</v>
      </c>
      <c r="F105" s="21">
        <v>3</v>
      </c>
      <c r="G105" s="22">
        <v>1</v>
      </c>
      <c r="H105" s="23">
        <f>F105 * G105 * 24252.0993</f>
        <v>72756.297900000005</v>
      </c>
      <c r="I105" s="23">
        <f>F105 * G105 * 263986.45905</f>
        <v>791959.37715000007</v>
      </c>
      <c r="J105" s="23">
        <f t="shared" si="12"/>
        <v>0</v>
      </c>
      <c r="K105" s="23">
        <f>F105 * G105 * 23092.848953</f>
        <v>69278.546858999995</v>
      </c>
      <c r="L105" s="23">
        <f>F105 * G105 * 33357.182766</f>
        <v>100071.54829799999</v>
      </c>
      <c r="M105" s="23">
        <f>F105 * G105 * 4850.41986</f>
        <v>14551.25958</v>
      </c>
      <c r="N105" s="24">
        <f t="shared" si="13"/>
        <v>1048617.029787</v>
      </c>
      <c r="O105" s="25">
        <f>IF(O3&gt;0,N105/O3/12,0)</f>
        <v>0.26741885216363998</v>
      </c>
    </row>
    <row r="106" spans="2:15" ht="27.6" x14ac:dyDescent="0.3">
      <c r="B106" s="18">
        <v>92</v>
      </c>
      <c r="C106" s="19" t="s">
        <v>282</v>
      </c>
      <c r="D106" s="20" t="s">
        <v>283</v>
      </c>
      <c r="E106" s="20" t="s">
        <v>28</v>
      </c>
      <c r="F106" s="21">
        <v>5</v>
      </c>
      <c r="G106" s="22">
        <v>1</v>
      </c>
      <c r="H106" s="23">
        <f>F106 * G106 * 23890.788</f>
        <v>119453.94</v>
      </c>
      <c r="I106" s="23">
        <f>F106 * G106 * 23313.769475</f>
        <v>116568.84737500001</v>
      </c>
      <c r="J106" s="23">
        <f t="shared" si="12"/>
        <v>0</v>
      </c>
      <c r="K106" s="23">
        <f>F106 * G106 * 22748.808334</f>
        <v>113744.04167000001</v>
      </c>
      <c r="L106" s="23">
        <f>F106 * G106 * 7884.17572</f>
        <v>39420.878600000004</v>
      </c>
      <c r="M106" s="23">
        <f>F106 * G106 * 4778.1576</f>
        <v>23890.787999999997</v>
      </c>
      <c r="N106" s="24">
        <f t="shared" si="13"/>
        <v>413078.49564500002</v>
      </c>
      <c r="O106" s="25">
        <f>IF(O3&gt;0,N106/O3/12,0)</f>
        <v>0.10534348958771651</v>
      </c>
    </row>
    <row r="107" spans="2:15" x14ac:dyDescent="0.3">
      <c r="B107" s="18">
        <v>93</v>
      </c>
      <c r="C107" s="19" t="s">
        <v>284</v>
      </c>
      <c r="D107" s="20" t="s">
        <v>285</v>
      </c>
      <c r="E107" s="20" t="s">
        <v>28</v>
      </c>
      <c r="F107" s="21">
        <v>0.2</v>
      </c>
      <c r="G107" s="22">
        <v>1</v>
      </c>
      <c r="H107" s="23">
        <f>F107 * G107 * 124468.056</f>
        <v>24893.611199999999</v>
      </c>
      <c r="I107" s="23">
        <f>F107 * G107 * 642333.712216</f>
        <v>128466.7424432</v>
      </c>
      <c r="J107" s="23">
        <f t="shared" si="12"/>
        <v>0</v>
      </c>
      <c r="K107" s="23">
        <f>F107 * G107 * 118518.482923</f>
        <v>23703.696584600002</v>
      </c>
      <c r="L107" s="23">
        <f>F107 * G107 * 96027.562477</f>
        <v>19205.512495400002</v>
      </c>
      <c r="M107" s="23">
        <f>F107 * G107 * 24893.6112</f>
        <v>4978.7222400000001</v>
      </c>
      <c r="N107" s="24">
        <f t="shared" si="13"/>
        <v>201248.28496320001</v>
      </c>
      <c r="O107" s="25">
        <f>IF(O3&gt;0,N107/O3/12,0)</f>
        <v>5.1322440734814068E-2</v>
      </c>
    </row>
    <row r="108" spans="2:15" s="15" customFormat="1" ht="14.4" x14ac:dyDescent="0.3">
      <c r="B108" s="16"/>
      <c r="C108" s="17" t="s">
        <v>286</v>
      </c>
      <c r="D108" s="31" t="s">
        <v>287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2:15" ht="41.4" x14ac:dyDescent="0.3">
      <c r="B109" s="18">
        <v>94</v>
      </c>
      <c r="C109" s="19" t="s">
        <v>288</v>
      </c>
      <c r="D109" s="20" t="s">
        <v>289</v>
      </c>
      <c r="E109" s="20" t="s">
        <v>254</v>
      </c>
      <c r="F109" s="21">
        <v>3</v>
      </c>
      <c r="G109" s="22">
        <v>1</v>
      </c>
      <c r="H109" s="23">
        <f>F109 * G109 * 19525.14795</f>
        <v>58575.443849999996</v>
      </c>
      <c r="I109" s="23">
        <f>F109 * G109 * 57627.060537</f>
        <v>172881.18161099998</v>
      </c>
      <c r="J109" s="23">
        <f>F109 * G109 * 0</f>
        <v>0</v>
      </c>
      <c r="K109" s="23">
        <f>F109 * G109 * 18591.845878</f>
        <v>55775.537634</v>
      </c>
      <c r="L109" s="23">
        <f>F109 * G109 * 10512.978357</f>
        <v>31538.935071</v>
      </c>
      <c r="M109" s="23">
        <f>F109 * G109 * 3905.02959</f>
        <v>11715.08877</v>
      </c>
      <c r="N109" s="24">
        <f>SUM(H109:M109)</f>
        <v>330486.18693599995</v>
      </c>
      <c r="O109" s="25">
        <f>IF(O3&gt;0,N109/O3/12,0)</f>
        <v>8.4280756707064974E-2</v>
      </c>
    </row>
    <row r="110" spans="2:15" ht="41.4" x14ac:dyDescent="0.3">
      <c r="B110" s="18">
        <v>95</v>
      </c>
      <c r="C110" s="19" t="s">
        <v>290</v>
      </c>
      <c r="D110" s="20" t="s">
        <v>291</v>
      </c>
      <c r="E110" s="20" t="s">
        <v>254</v>
      </c>
      <c r="F110" s="21">
        <v>4</v>
      </c>
      <c r="G110" s="22">
        <v>1</v>
      </c>
      <c r="H110" s="23">
        <f>F110 * G110 * 19525.14795</f>
        <v>78100.591799999995</v>
      </c>
      <c r="I110" s="23">
        <f>F110 * G110 * 57627.060537</f>
        <v>230508.24214799999</v>
      </c>
      <c r="J110" s="23">
        <f>F110 * G110 * 0</f>
        <v>0</v>
      </c>
      <c r="K110" s="23">
        <f>F110 * G110 * 18591.845878</f>
        <v>74367.383512</v>
      </c>
      <c r="L110" s="23">
        <f>F110 * G110 * 10512.978357</f>
        <v>42051.913428</v>
      </c>
      <c r="M110" s="23">
        <f>F110 * G110 * 3905.02959</f>
        <v>15620.11836</v>
      </c>
      <c r="N110" s="24">
        <f>SUM(H110:M110)</f>
        <v>440648.24924799998</v>
      </c>
      <c r="O110" s="25">
        <f>IF(O3&gt;0,N110/O3/12,0)</f>
        <v>0.11237434227608663</v>
      </c>
    </row>
    <row r="111" spans="2:15" ht="27.6" x14ac:dyDescent="0.3">
      <c r="B111" s="18">
        <v>96</v>
      </c>
      <c r="C111" s="19" t="s">
        <v>292</v>
      </c>
      <c r="D111" s="20" t="s">
        <v>293</v>
      </c>
      <c r="E111" s="20" t="s">
        <v>294</v>
      </c>
      <c r="F111" s="21">
        <v>1</v>
      </c>
      <c r="G111" s="22">
        <v>1</v>
      </c>
      <c r="H111" s="23">
        <f>F111 * G111 * 16061.5572</f>
        <v>16061.557199999999</v>
      </c>
      <c r="I111" s="23">
        <f>F111 * G111 * 3257.331154</f>
        <v>3257.331154</v>
      </c>
      <c r="J111" s="23">
        <f>F111 * G111 * 0</f>
        <v>0</v>
      </c>
      <c r="K111" s="23">
        <f>F111 * G111 * 15293.814766</f>
        <v>15293.814766</v>
      </c>
      <c r="L111" s="23">
        <f>F111 * G111 * 3990.539036</f>
        <v>3990.5390360000001</v>
      </c>
      <c r="M111" s="23">
        <f>F111 * G111 * 3212.31144</f>
        <v>3212.3114399999999</v>
      </c>
      <c r="N111" s="24">
        <f>SUM(H111:M111)</f>
        <v>41815.553595999998</v>
      </c>
      <c r="O111" s="25">
        <f>IF(O3&gt;0,N111/O3/12,0)</f>
        <v>1.0663823900991652E-2</v>
      </c>
    </row>
    <row r="112" spans="2:15" ht="27.6" x14ac:dyDescent="0.3">
      <c r="B112" s="18">
        <v>97</v>
      </c>
      <c r="C112" s="19" t="s">
        <v>295</v>
      </c>
      <c r="D112" s="20" t="s">
        <v>296</v>
      </c>
      <c r="E112" s="20" t="s">
        <v>126</v>
      </c>
      <c r="F112" s="21">
        <v>20</v>
      </c>
      <c r="G112" s="22">
        <v>1</v>
      </c>
      <c r="H112" s="23">
        <f>F112 * G112 * 2796.92634</f>
        <v>55938.5268</v>
      </c>
      <c r="I112" s="23">
        <f>F112 * G112 * 1041.05799</f>
        <v>20821.159800000001</v>
      </c>
      <c r="J112" s="23">
        <f>F112 * G112 * 0</f>
        <v>0</v>
      </c>
      <c r="K112" s="23">
        <f>F112 * G112 * 2663.233261</f>
        <v>53264.665219999995</v>
      </c>
      <c r="L112" s="23">
        <f>F112 * G112 * 744.893601</f>
        <v>14897.872019999999</v>
      </c>
      <c r="M112" s="23">
        <f>F112 * G112 * 559.385268</f>
        <v>11187.70536</v>
      </c>
      <c r="N112" s="24">
        <f>SUM(H112:M112)</f>
        <v>156109.92919999998</v>
      </c>
      <c r="O112" s="25">
        <f>IF(O3&gt;0,N112/O3/12,0)</f>
        <v>3.9811234122805433E-2</v>
      </c>
    </row>
    <row r="113" spans="2:15" ht="27.6" x14ac:dyDescent="0.3">
      <c r="B113" s="18">
        <v>98</v>
      </c>
      <c r="C113" s="19" t="s">
        <v>297</v>
      </c>
      <c r="D113" s="20" t="s">
        <v>298</v>
      </c>
      <c r="E113" s="20" t="s">
        <v>299</v>
      </c>
      <c r="F113" s="21">
        <v>0.05</v>
      </c>
      <c r="G113" s="22">
        <v>1</v>
      </c>
      <c r="H113" s="23">
        <f>F113 * G113 * 8584.6254</f>
        <v>429.23127000000005</v>
      </c>
      <c r="I113" s="23">
        <f>F113 * G113 * 59165.10212</f>
        <v>2958.2551060000005</v>
      </c>
      <c r="J113" s="23">
        <f>F113 * G113 * 0</f>
        <v>0</v>
      </c>
      <c r="K113" s="23">
        <f>F113 * G113 * 8174.280306</f>
        <v>408.71401530000003</v>
      </c>
      <c r="L113" s="23">
        <f>F113 * G113 * 8191.118422</f>
        <v>409.55592109999998</v>
      </c>
      <c r="M113" s="23">
        <f>F113 * G113 * 1716.92508</f>
        <v>85.846254000000002</v>
      </c>
      <c r="N113" s="24">
        <f>SUM(H113:M113)</f>
        <v>4291.6025664000008</v>
      </c>
      <c r="O113" s="25">
        <f>IF(O3&gt;0,N113/O3/12,0)</f>
        <v>1.0944466851566742E-3</v>
      </c>
    </row>
    <row r="114" spans="2:15" s="15" customFormat="1" ht="14.4" x14ac:dyDescent="0.3">
      <c r="B114" s="16"/>
      <c r="C114" s="17" t="s">
        <v>300</v>
      </c>
      <c r="D114" s="31" t="s">
        <v>301</v>
      </c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2:15" ht="27.6" x14ac:dyDescent="0.3">
      <c r="B115" s="18">
        <v>99</v>
      </c>
      <c r="C115" s="19" t="s">
        <v>302</v>
      </c>
      <c r="D115" s="20" t="s">
        <v>303</v>
      </c>
      <c r="E115" s="20" t="s">
        <v>304</v>
      </c>
      <c r="F115" s="21">
        <v>1</v>
      </c>
      <c r="G115" s="22">
        <v>1</v>
      </c>
      <c r="H115" s="23">
        <f>F115 * G115 * 852.498036</f>
        <v>852.49803599999996</v>
      </c>
      <c r="I115" s="23">
        <f>F115 * G115 * 394.786306</f>
        <v>394.78630600000002</v>
      </c>
      <c r="J115" s="23">
        <f t="shared" ref="J115:J123" si="14">F115 * G115 * 0</f>
        <v>0</v>
      </c>
      <c r="K115" s="23">
        <f>F115 * G115 * 811.748629</f>
        <v>811.74862900000005</v>
      </c>
      <c r="L115" s="23">
        <f>F115 * G115 * 235.215687</f>
        <v>235.215687</v>
      </c>
      <c r="M115" s="23">
        <f>F115 * G115 * 170.499607</f>
        <v>170.499607</v>
      </c>
      <c r="N115" s="24">
        <f t="shared" ref="N115:N123" si="15">SUM(H115:M115)</f>
        <v>2464.7482650000002</v>
      </c>
      <c r="O115" s="25">
        <f>IF(O3&gt;0,N115/O3/12,0)</f>
        <v>6.28561365279855E-4</v>
      </c>
    </row>
    <row r="116" spans="2:15" ht="27.6" x14ac:dyDescent="0.3">
      <c r="B116" s="18">
        <v>100</v>
      </c>
      <c r="C116" s="19" t="s">
        <v>305</v>
      </c>
      <c r="D116" s="20" t="s">
        <v>306</v>
      </c>
      <c r="E116" s="20" t="s">
        <v>304</v>
      </c>
      <c r="F116" s="21">
        <v>313.58</v>
      </c>
      <c r="G116" s="22">
        <v>1</v>
      </c>
      <c r="H116" s="23">
        <f>F116 * G116 * 1543.31541</f>
        <v>483952.84626779996</v>
      </c>
      <c r="I116" s="23">
        <f>F116 * G116 * 585.687533</f>
        <v>183659.89659814001</v>
      </c>
      <c r="J116" s="23">
        <f t="shared" si="14"/>
        <v>0</v>
      </c>
      <c r="K116" s="23">
        <f>F116 * G116 * 1469.544934</f>
        <v>460819.90040371998</v>
      </c>
      <c r="L116" s="23">
        <f>F116 * G116 * 412.210756</f>
        <v>129261.04886647999</v>
      </c>
      <c r="M116" s="23">
        <f>F116 * G116 * 308.663082</f>
        <v>96790.569253559981</v>
      </c>
      <c r="N116" s="24">
        <f t="shared" si="15"/>
        <v>1354484.2613896998</v>
      </c>
      <c r="O116" s="25">
        <f>IF(O3&gt;0,N116/O3/12,0)</f>
        <v>0.34542127026882624</v>
      </c>
    </row>
    <row r="117" spans="2:15" ht="27.6" x14ac:dyDescent="0.3">
      <c r="B117" s="18">
        <v>101</v>
      </c>
      <c r="C117" s="19" t="s">
        <v>307</v>
      </c>
      <c r="D117" s="20" t="s">
        <v>308</v>
      </c>
      <c r="E117" s="20" t="s">
        <v>309</v>
      </c>
      <c r="F117" s="21">
        <v>1</v>
      </c>
      <c r="G117" s="22">
        <v>1</v>
      </c>
      <c r="H117" s="23">
        <f>F117 * G117 * 215.574216</f>
        <v>215.57421600000001</v>
      </c>
      <c r="I117" s="23">
        <f t="shared" ref="I117:I123" si="16">F117 * G117 * 0</f>
        <v>0</v>
      </c>
      <c r="J117" s="23">
        <f t="shared" si="14"/>
        <v>0</v>
      </c>
      <c r="K117" s="23">
        <f>F117 * G117 * 205.269768</f>
        <v>205.269768</v>
      </c>
      <c r="L117" s="23">
        <f>F117 * G117 * 48.947656</f>
        <v>48.947656000000002</v>
      </c>
      <c r="M117" s="23">
        <f>F117 * G117 * 43.114843</f>
        <v>43.114843</v>
      </c>
      <c r="N117" s="24">
        <f t="shared" si="15"/>
        <v>512.90648299999998</v>
      </c>
      <c r="O117" s="25">
        <f>IF(O3&gt;0,N117/O3/12,0)</f>
        <v>1.3080167406685189E-4</v>
      </c>
    </row>
    <row r="118" spans="2:15" x14ac:dyDescent="0.3">
      <c r="B118" s="18">
        <v>102</v>
      </c>
      <c r="C118" s="19" t="s">
        <v>310</v>
      </c>
      <c r="D118" s="20" t="s">
        <v>311</v>
      </c>
      <c r="E118" s="20" t="s">
        <v>312</v>
      </c>
      <c r="F118" s="21"/>
      <c r="G118" s="22">
        <v>1</v>
      </c>
      <c r="H118" s="23">
        <f>F118 * G118 * 12.518904</f>
        <v>0</v>
      </c>
      <c r="I118" s="23">
        <f t="shared" si="16"/>
        <v>0</v>
      </c>
      <c r="J118" s="23">
        <f t="shared" si="14"/>
        <v>0</v>
      </c>
      <c r="K118" s="23">
        <f>F118 * G118 * 11.920501</f>
        <v>0</v>
      </c>
      <c r="L118" s="23">
        <f>F118 * G118 * 2.842506</f>
        <v>0</v>
      </c>
      <c r="M118" s="23">
        <f>F118 * G118 * 2.503781</f>
        <v>0</v>
      </c>
      <c r="N118" s="24">
        <f t="shared" si="15"/>
        <v>0</v>
      </c>
      <c r="O118" s="25">
        <f>IF(O3&gt;0,N118/O3/12,0)</f>
        <v>0</v>
      </c>
    </row>
    <row r="119" spans="2:15" ht="27.6" x14ac:dyDescent="0.3">
      <c r="B119" s="18">
        <v>103</v>
      </c>
      <c r="C119" s="19" t="s">
        <v>313</v>
      </c>
      <c r="D119" s="20" t="s">
        <v>314</v>
      </c>
      <c r="E119" s="20" t="s">
        <v>315</v>
      </c>
      <c r="F119" s="21">
        <v>375</v>
      </c>
      <c r="G119" s="22">
        <v>1</v>
      </c>
      <c r="H119" s="23">
        <f>F119 * G119 * 14.91126</f>
        <v>5591.7224999999999</v>
      </c>
      <c r="I119" s="23">
        <f t="shared" si="16"/>
        <v>0</v>
      </c>
      <c r="J119" s="23">
        <f t="shared" si="14"/>
        <v>0</v>
      </c>
      <c r="K119" s="23">
        <f>F119 * G119 * 14.198502</f>
        <v>5324.4382500000002</v>
      </c>
      <c r="L119" s="23">
        <f>F119 * G119 * 3.385707</f>
        <v>1269.6401249999999</v>
      </c>
      <c r="M119" s="23">
        <f>F119 * G119 * 2.982252</f>
        <v>1118.3444999999999</v>
      </c>
      <c r="N119" s="24">
        <f t="shared" si="15"/>
        <v>13304.145374999998</v>
      </c>
      <c r="O119" s="25">
        <f>IF(O3&gt;0,N119/O3/12,0)</f>
        <v>3.3928299695107672E-3</v>
      </c>
    </row>
    <row r="120" spans="2:15" ht="41.4" x14ac:dyDescent="0.3">
      <c r="B120" s="18">
        <v>104</v>
      </c>
      <c r="C120" s="19" t="s">
        <v>316</v>
      </c>
      <c r="D120" s="20" t="s">
        <v>317</v>
      </c>
      <c r="E120" s="20" t="s">
        <v>318</v>
      </c>
      <c r="F120" s="21">
        <v>788</v>
      </c>
      <c r="G120" s="22">
        <v>1</v>
      </c>
      <c r="H120" s="23">
        <f>F120 * G120 * 184.047552</f>
        <v>145029.47097600001</v>
      </c>
      <c r="I120" s="23">
        <f t="shared" si="16"/>
        <v>0</v>
      </c>
      <c r="J120" s="23">
        <f t="shared" si="14"/>
        <v>0</v>
      </c>
      <c r="K120" s="23">
        <f>F120 * G120 * 175.250079</f>
        <v>138097.062252</v>
      </c>
      <c r="L120" s="23">
        <f>F120 * G120 * 41.789304</f>
        <v>32929.971552000003</v>
      </c>
      <c r="M120" s="23">
        <f>F120 * G120 * 36.80951</f>
        <v>29005.893880000003</v>
      </c>
      <c r="N120" s="24">
        <f t="shared" si="15"/>
        <v>345062.39866000006</v>
      </c>
      <c r="O120" s="25">
        <f>IF(O3&gt;0,N120/O3/12,0)</f>
        <v>8.7997989688602632E-2</v>
      </c>
    </row>
    <row r="121" spans="2:15" ht="41.4" x14ac:dyDescent="0.3">
      <c r="B121" s="18">
        <v>105</v>
      </c>
      <c r="C121" s="19" t="s">
        <v>319</v>
      </c>
      <c r="D121" s="20" t="s">
        <v>320</v>
      </c>
      <c r="E121" s="20" t="s">
        <v>318</v>
      </c>
      <c r="F121" s="21">
        <v>182</v>
      </c>
      <c r="G121" s="22">
        <v>1</v>
      </c>
      <c r="H121" s="23">
        <f>F121 * G121 * 212.36256</f>
        <v>38649.985919999999</v>
      </c>
      <c r="I121" s="23">
        <f t="shared" si="16"/>
        <v>0</v>
      </c>
      <c r="J121" s="23">
        <f t="shared" si="14"/>
        <v>0</v>
      </c>
      <c r="K121" s="23">
        <f>F121 * G121 * 202.21163</f>
        <v>36802.516660000001</v>
      </c>
      <c r="L121" s="23">
        <f>F121 * G121 * 48.218428</f>
        <v>8775.7538960000002</v>
      </c>
      <c r="M121" s="23">
        <f>F121 * G121 * 42.472512</f>
        <v>7729.9971840000007</v>
      </c>
      <c r="N121" s="24">
        <f t="shared" si="15"/>
        <v>91958.253660000002</v>
      </c>
      <c r="O121" s="25">
        <f>IF(O3&gt;0,N121/O3/12,0)</f>
        <v>2.3451240960415412E-2</v>
      </c>
    </row>
    <row r="122" spans="2:15" ht="41.4" x14ac:dyDescent="0.3">
      <c r="B122" s="18">
        <v>106</v>
      </c>
      <c r="C122" s="19" t="s">
        <v>321</v>
      </c>
      <c r="D122" s="20" t="s">
        <v>322</v>
      </c>
      <c r="E122" s="20" t="s">
        <v>318</v>
      </c>
      <c r="F122" s="21">
        <v>58</v>
      </c>
      <c r="G122" s="22">
        <v>1</v>
      </c>
      <c r="H122" s="23">
        <f>F122 * G122 * 254.835072</f>
        <v>14780.434176000001</v>
      </c>
      <c r="I122" s="23">
        <f t="shared" si="16"/>
        <v>0</v>
      </c>
      <c r="J122" s="23">
        <f t="shared" si="14"/>
        <v>0</v>
      </c>
      <c r="K122" s="23">
        <f>F122 * G122 * 242.653956</f>
        <v>14073.929447999999</v>
      </c>
      <c r="L122" s="23">
        <f>F122 * G122 * 57.862112</f>
        <v>3356.0024960000001</v>
      </c>
      <c r="M122" s="23">
        <f>F122 * G122 * 50.967014</f>
        <v>2956.086812</v>
      </c>
      <c r="N122" s="24">
        <f t="shared" si="15"/>
        <v>35166.452932</v>
      </c>
      <c r="O122" s="25">
        <f>IF(O3&gt;0,N122/O3/12,0)</f>
        <v>8.9681668431918649E-3</v>
      </c>
    </row>
    <row r="123" spans="2:15" ht="41.4" x14ac:dyDescent="0.3">
      <c r="B123" s="18">
        <v>107</v>
      </c>
      <c r="C123" s="19" t="s">
        <v>323</v>
      </c>
      <c r="D123" s="20" t="s">
        <v>324</v>
      </c>
      <c r="E123" s="20" t="s">
        <v>318</v>
      </c>
      <c r="F123" s="21">
        <v>197</v>
      </c>
      <c r="G123" s="22">
        <v>1</v>
      </c>
      <c r="H123" s="23">
        <f>F123 * G123 * 297.307584</f>
        <v>58569.594048000006</v>
      </c>
      <c r="I123" s="23">
        <f t="shared" si="16"/>
        <v>0</v>
      </c>
      <c r="J123" s="23">
        <f t="shared" si="14"/>
        <v>0</v>
      </c>
      <c r="K123" s="23">
        <f>F123 * G123 * 283.096282</f>
        <v>55769.967553999995</v>
      </c>
      <c r="L123" s="23">
        <f>F123 * G123 * 67.505798</f>
        <v>13298.642206</v>
      </c>
      <c r="M123" s="23">
        <f>F123 * G123 * 59.461517</f>
        <v>11713.918849</v>
      </c>
      <c r="N123" s="24">
        <f t="shared" si="15"/>
        <v>139352.122657</v>
      </c>
      <c r="O123" s="25">
        <f>IF(O3&gt;0,N123/O3/12,0)</f>
        <v>3.5537649712852004E-2</v>
      </c>
    </row>
    <row r="124" spans="2:15" s="15" customFormat="1" ht="14.4" x14ac:dyDescent="0.3">
      <c r="B124" s="16"/>
      <c r="C124" s="17" t="s">
        <v>325</v>
      </c>
      <c r="D124" s="31" t="s">
        <v>326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2:15" ht="27.6" x14ac:dyDescent="0.3">
      <c r="B125" s="18">
        <v>108</v>
      </c>
      <c r="C125" s="19" t="s">
        <v>327</v>
      </c>
      <c r="D125" s="20" t="s">
        <v>328</v>
      </c>
      <c r="E125" s="20" t="s">
        <v>329</v>
      </c>
      <c r="F125" s="21">
        <v>60</v>
      </c>
      <c r="G125" s="22">
        <v>1</v>
      </c>
      <c r="H125" s="23">
        <f>F125 * G125 * 121.846296</f>
        <v>7310.7777599999999</v>
      </c>
      <c r="I125" s="23">
        <f>F125 * G125 * 268.6144</f>
        <v>16116.864</v>
      </c>
      <c r="J125" s="23">
        <f t="shared" ref="J125:J131" si="17">F125 * G125 * 0</f>
        <v>0</v>
      </c>
      <c r="K125" s="23">
        <f>F125 * G125 * 116.022043</f>
        <v>6961.32258</v>
      </c>
      <c r="L125" s="23">
        <f>F125 * G125 * 56.004886</f>
        <v>3360.2931600000002</v>
      </c>
      <c r="M125" s="23">
        <f>F125 * G125 * 24.369259</f>
        <v>1462.15554</v>
      </c>
      <c r="N125" s="24">
        <f t="shared" ref="N125:N131" si="18">SUM(H125:M125)</f>
        <v>35211.413039999999</v>
      </c>
      <c r="O125" s="25">
        <f>IF(O3&gt;0,N125/O3/12,0)</f>
        <v>8.9796325929679833E-3</v>
      </c>
    </row>
    <row r="126" spans="2:15" x14ac:dyDescent="0.3">
      <c r="B126" s="18">
        <v>109</v>
      </c>
      <c r="C126" s="19" t="s">
        <v>330</v>
      </c>
      <c r="D126" s="20" t="s">
        <v>331</v>
      </c>
      <c r="E126" s="20" t="s">
        <v>332</v>
      </c>
      <c r="F126" s="21">
        <v>60</v>
      </c>
      <c r="G126" s="22">
        <v>1</v>
      </c>
      <c r="H126" s="23">
        <f>F126 * G126 * 22.153872</f>
        <v>1329.2323200000001</v>
      </c>
      <c r="I126" s="23">
        <f>F126 * G126 * 2144.09864</f>
        <v>128645.91840000001</v>
      </c>
      <c r="J126" s="23">
        <f t="shared" si="17"/>
        <v>0</v>
      </c>
      <c r="K126" s="23">
        <f>F126 * G126 * 21.094917</f>
        <v>1265.6950199999999</v>
      </c>
      <c r="L126" s="23">
        <f>F126 * G126 * 231.2326</f>
        <v>13873.956</v>
      </c>
      <c r="M126" s="23">
        <f>F126 * G126 * 4.430774</f>
        <v>265.84644000000003</v>
      </c>
      <c r="N126" s="24">
        <f t="shared" si="18"/>
        <v>145380.64818000002</v>
      </c>
      <c r="O126" s="25">
        <f>IF(O3&gt;0,N126/O3/12,0)</f>
        <v>3.7075047380260989E-2</v>
      </c>
    </row>
    <row r="127" spans="2:15" x14ac:dyDescent="0.3">
      <c r="B127" s="18">
        <v>110</v>
      </c>
      <c r="C127" s="19" t="s">
        <v>333</v>
      </c>
      <c r="D127" s="20" t="s">
        <v>334</v>
      </c>
      <c r="E127" s="20" t="s">
        <v>335</v>
      </c>
      <c r="F127" s="21">
        <v>2.4</v>
      </c>
      <c r="G127" s="22">
        <v>1</v>
      </c>
      <c r="H127" s="23">
        <f>F127 * G127 * 55384.68</f>
        <v>132923.23199999999</v>
      </c>
      <c r="I127" s="23">
        <f>F127 * G127 * 128380.439975</f>
        <v>308113.05593999999</v>
      </c>
      <c r="J127" s="23">
        <f t="shared" si="17"/>
        <v>0</v>
      </c>
      <c r="K127" s="23">
        <f>F127 * G127 * 52737.292296</f>
        <v>126569.50151039999</v>
      </c>
      <c r="L127" s="23">
        <f>F127 * G127 * 26119.621242</f>
        <v>62687.0909808</v>
      </c>
      <c r="M127" s="23">
        <f>F127 * G127 * 11076.936</f>
        <v>26584.646399999998</v>
      </c>
      <c r="N127" s="24">
        <f t="shared" si="18"/>
        <v>656877.52683119988</v>
      </c>
      <c r="O127" s="25">
        <f>IF(O3&gt;0,N127/O3/12,0)</f>
        <v>0.16751724342391353</v>
      </c>
    </row>
    <row r="128" spans="2:15" x14ac:dyDescent="0.3">
      <c r="B128" s="18">
        <v>111</v>
      </c>
      <c r="C128" s="19" t="s">
        <v>336</v>
      </c>
      <c r="D128" s="20" t="s">
        <v>337</v>
      </c>
      <c r="E128" s="20" t="s">
        <v>338</v>
      </c>
      <c r="F128" s="21">
        <v>110</v>
      </c>
      <c r="G128" s="22">
        <v>12</v>
      </c>
      <c r="H128" s="23">
        <f>F128 * G128 * 378.696846</f>
        <v>499879.83671999996</v>
      </c>
      <c r="I128" s="23">
        <f>F128 * G128 * 27.398681</f>
        <v>36166.25892</v>
      </c>
      <c r="J128" s="23">
        <f t="shared" si="17"/>
        <v>0</v>
      </c>
      <c r="K128" s="23">
        <f>F128 * G128 * 360.595137</f>
        <v>475985.58084000001</v>
      </c>
      <c r="L128" s="23">
        <f>F128 * G128 * 88.876368</f>
        <v>117316.80576</v>
      </c>
      <c r="M128" s="23">
        <f>F128 * G128 * 75.739369</f>
        <v>99975.967080000002</v>
      </c>
      <c r="N128" s="24">
        <f t="shared" si="18"/>
        <v>1229324.4493199999</v>
      </c>
      <c r="O128" s="25">
        <f>IF(O3&gt;0,N128/O3/12,0)</f>
        <v>0.31350295087295049</v>
      </c>
    </row>
    <row r="129" spans="2:15" x14ac:dyDescent="0.3">
      <c r="B129" s="18">
        <v>112</v>
      </c>
      <c r="C129" s="19" t="s">
        <v>339</v>
      </c>
      <c r="D129" s="20" t="s">
        <v>340</v>
      </c>
      <c r="E129" s="20" t="s">
        <v>341</v>
      </c>
      <c r="F129" s="21">
        <v>1.56</v>
      </c>
      <c r="G129" s="22">
        <v>1</v>
      </c>
      <c r="H129" s="23">
        <f>F129 * G129 * 3323.0808</f>
        <v>5184.0060480000002</v>
      </c>
      <c r="I129" s="23">
        <f>F129 * G129 * 0</f>
        <v>0</v>
      </c>
      <c r="J129" s="23">
        <f t="shared" si="17"/>
        <v>0</v>
      </c>
      <c r="K129" s="23">
        <f>F129 * G129 * 3164.237538</f>
        <v>4936.2105592799999</v>
      </c>
      <c r="L129" s="23">
        <f>F129 * G129 * 754.529089</f>
        <v>1177.06537884</v>
      </c>
      <c r="M129" s="23">
        <f>F129 * G129 * 664.61616</f>
        <v>1036.8012096</v>
      </c>
      <c r="N129" s="24">
        <f t="shared" si="18"/>
        <v>12334.083195719999</v>
      </c>
      <c r="O129" s="25">
        <f>IF(O3&gt;0,N129/O3/12,0)</f>
        <v>3.1454442155686348E-3</v>
      </c>
    </row>
    <row r="130" spans="2:15" x14ac:dyDescent="0.3">
      <c r="B130" s="18">
        <v>113</v>
      </c>
      <c r="C130" s="19" t="s">
        <v>342</v>
      </c>
      <c r="D130" s="20" t="s">
        <v>343</v>
      </c>
      <c r="E130" s="20" t="s">
        <v>344</v>
      </c>
      <c r="F130" s="21"/>
      <c r="G130" s="22">
        <v>1</v>
      </c>
      <c r="H130" s="23">
        <f>F130 * G130 * 26.307723</f>
        <v>0</v>
      </c>
      <c r="I130" s="23">
        <f>F130 * G130 * 125.1986</f>
        <v>0</v>
      </c>
      <c r="J130" s="23">
        <f t="shared" si="17"/>
        <v>0</v>
      </c>
      <c r="K130" s="23">
        <f>F130 * G130 * 25.050214</f>
        <v>0</v>
      </c>
      <c r="L130" s="23">
        <f>F130 * G130 * 19.181807</f>
        <v>0</v>
      </c>
      <c r="M130" s="23">
        <f>F130 * G130 * 5.261545</f>
        <v>0</v>
      </c>
      <c r="N130" s="24">
        <f t="shared" si="18"/>
        <v>0</v>
      </c>
      <c r="O130" s="25">
        <f>IF(O3&gt;0,N130/O3/12,0)</f>
        <v>0</v>
      </c>
    </row>
    <row r="131" spans="2:15" ht="27.6" x14ac:dyDescent="0.3">
      <c r="B131" s="18">
        <v>114</v>
      </c>
      <c r="C131" s="19" t="s">
        <v>345</v>
      </c>
      <c r="D131" s="20" t="s">
        <v>346</v>
      </c>
      <c r="E131" s="20" t="s">
        <v>347</v>
      </c>
      <c r="F131" s="21">
        <v>300</v>
      </c>
      <c r="G131" s="22">
        <v>1</v>
      </c>
      <c r="H131" s="23">
        <f>F131 * G131 * 511.084256</f>
        <v>153325.27679999999</v>
      </c>
      <c r="I131" s="23">
        <f>F131 * G131 * 1095.634289</f>
        <v>328690.2867</v>
      </c>
      <c r="J131" s="23">
        <f t="shared" si="17"/>
        <v>0</v>
      </c>
      <c r="K131" s="23">
        <f>F131 * G131 * 486.654428</f>
        <v>145996.3284</v>
      </c>
      <c r="L131" s="23">
        <f>F131 * G131 * 231.634726</f>
        <v>69490.417799999996</v>
      </c>
      <c r="M131" s="23">
        <f>F131 * G131 * 102.216851</f>
        <v>30665.0553</v>
      </c>
      <c r="N131" s="24">
        <f t="shared" si="18"/>
        <v>728167.36499999987</v>
      </c>
      <c r="O131" s="25">
        <f>IF(O3&gt;0,N131/O3/12,0)</f>
        <v>0.18569761447692282</v>
      </c>
    </row>
    <row r="132" spans="2:15" s="15" customFormat="1" ht="14.4" x14ac:dyDescent="0.3">
      <c r="B132" s="16"/>
      <c r="C132" s="17" t="s">
        <v>348</v>
      </c>
      <c r="D132" s="31" t="s">
        <v>349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spans="2:15" ht="27.6" x14ac:dyDescent="0.3">
      <c r="B133" s="18">
        <v>115</v>
      </c>
      <c r="C133" s="19" t="s">
        <v>350</v>
      </c>
      <c r="D133" s="20" t="s">
        <v>351</v>
      </c>
      <c r="E133" s="20" t="s">
        <v>352</v>
      </c>
      <c r="F133" s="21">
        <v>1</v>
      </c>
      <c r="G133" s="22">
        <v>1</v>
      </c>
      <c r="H133" s="23">
        <f>F133 * G133 * 35.112469</f>
        <v>35.112468999999997</v>
      </c>
      <c r="I133" s="23">
        <f>F133 * G133 * 409.920364</f>
        <v>409.92036400000001</v>
      </c>
      <c r="J133" s="23">
        <f t="shared" ref="J133:J172" si="19">F133 * G133 * 0</f>
        <v>0</v>
      </c>
      <c r="K133" s="23">
        <f>F133 * G133 * 33.434093</f>
        <v>33.434092999999997</v>
      </c>
      <c r="L133" s="23">
        <f>F133 * G133 * 51.219134</f>
        <v>51.219133999999997</v>
      </c>
      <c r="M133" s="23">
        <f>F133 * G133 * 7.022494</f>
        <v>7.022494</v>
      </c>
      <c r="N133" s="24">
        <f t="shared" ref="N133:N172" si="20">SUM(H133:M133)</f>
        <v>536.70855400000005</v>
      </c>
      <c r="O133" s="25">
        <f>IF(O3&gt;0,N133/O3/12,0)</f>
        <v>1.3687169040754626E-4</v>
      </c>
    </row>
    <row r="134" spans="2:15" x14ac:dyDescent="0.3">
      <c r="B134" s="18">
        <v>116</v>
      </c>
      <c r="C134" s="19" t="s">
        <v>353</v>
      </c>
      <c r="D134" s="20" t="s">
        <v>354</v>
      </c>
      <c r="E134" s="20" t="s">
        <v>355</v>
      </c>
      <c r="F134" s="21">
        <v>1</v>
      </c>
      <c r="G134" s="22">
        <v>1</v>
      </c>
      <c r="H134" s="23">
        <f>F134 * G134 * 5634.3261</f>
        <v>5634.3261000000002</v>
      </c>
      <c r="I134" s="23">
        <f>F134 * G134 * 11947.011781</f>
        <v>11947.011780999999</v>
      </c>
      <c r="J134" s="23">
        <f t="shared" si="19"/>
        <v>0</v>
      </c>
      <c r="K134" s="23">
        <f>F134 * G134 * 5365.00531199999</f>
        <v>5365.0053119999902</v>
      </c>
      <c r="L134" s="23">
        <f>F134 * G134 * 2539.723488</f>
        <v>2539.7234880000001</v>
      </c>
      <c r="M134" s="23">
        <f>F134 * G134 * 1126.86522</f>
        <v>1126.8652199999999</v>
      </c>
      <c r="N134" s="24">
        <f t="shared" si="20"/>
        <v>26612.931900999989</v>
      </c>
      <c r="O134" s="25">
        <f>IF(O3&gt;0,N134/O3/12,0)</f>
        <v>6.786843527727307E-3</v>
      </c>
    </row>
    <row r="135" spans="2:15" ht="27.6" x14ac:dyDescent="0.3">
      <c r="B135" s="18">
        <v>117</v>
      </c>
      <c r="C135" s="19" t="s">
        <v>356</v>
      </c>
      <c r="D135" s="20" t="s">
        <v>357</v>
      </c>
      <c r="E135" s="20" t="s">
        <v>358</v>
      </c>
      <c r="F135" s="21">
        <v>326.8</v>
      </c>
      <c r="G135" s="22">
        <v>1</v>
      </c>
      <c r="H135" s="23">
        <f>F135 * G135 * 108.000126</f>
        <v>35294.441176799999</v>
      </c>
      <c r="I135" s="23">
        <f t="shared" ref="I135:I148" si="21">F135 * G135 * 0</f>
        <v>0</v>
      </c>
      <c r="J135" s="23">
        <f t="shared" si="19"/>
        <v>0</v>
      </c>
      <c r="K135" s="23">
        <f>F135 * G135 * 102.837719999999</f>
        <v>33607.366895999672</v>
      </c>
      <c r="L135" s="23">
        <f>F135 * G135 * 24.522195</f>
        <v>8013.8533260000004</v>
      </c>
      <c r="M135" s="23">
        <f>F135 * G135 * 21.600025</f>
        <v>7058.8881700000002</v>
      </c>
      <c r="N135" s="24">
        <f t="shared" si="20"/>
        <v>83974.549568799674</v>
      </c>
      <c r="O135" s="25">
        <f>IF(O3&gt;0,N135/O3/12,0)</f>
        <v>2.1415232652867117E-2</v>
      </c>
    </row>
    <row r="136" spans="2:15" ht="27.6" x14ac:dyDescent="0.3">
      <c r="B136" s="18">
        <v>118</v>
      </c>
      <c r="C136" s="19" t="s">
        <v>359</v>
      </c>
      <c r="D136" s="20" t="s">
        <v>360</v>
      </c>
      <c r="E136" s="20" t="s">
        <v>358</v>
      </c>
      <c r="F136" s="21">
        <v>326.8</v>
      </c>
      <c r="G136" s="22">
        <v>1</v>
      </c>
      <c r="H136" s="23">
        <f>F136 * G136 * 861.231774</f>
        <v>281450.54374320002</v>
      </c>
      <c r="I136" s="23">
        <f t="shared" si="21"/>
        <v>0</v>
      </c>
      <c r="J136" s="23">
        <f t="shared" si="19"/>
        <v>0</v>
      </c>
      <c r="K136" s="23">
        <f>F136 * G136 * 820.064895</f>
        <v>267997.20768599998</v>
      </c>
      <c r="L136" s="23">
        <f>F136 * G136 * 195.548789</f>
        <v>63905.344245200002</v>
      </c>
      <c r="M136" s="23">
        <f>F136 * G136 * 172.246355</f>
        <v>56290.108813999999</v>
      </c>
      <c r="N136" s="24">
        <f t="shared" si="20"/>
        <v>669643.20448840002</v>
      </c>
      <c r="O136" s="25">
        <f>IF(O3&gt;0,N136/O3/12,0)</f>
        <v>0.17077275308016326</v>
      </c>
    </row>
    <row r="137" spans="2:15" ht="27.6" x14ac:dyDescent="0.3">
      <c r="B137" s="18">
        <v>119</v>
      </c>
      <c r="C137" s="19" t="s">
        <v>361</v>
      </c>
      <c r="D137" s="20" t="s">
        <v>362</v>
      </c>
      <c r="E137" s="20" t="s">
        <v>358</v>
      </c>
      <c r="F137" s="21">
        <v>326.8</v>
      </c>
      <c r="G137" s="22">
        <v>1</v>
      </c>
      <c r="H137" s="23">
        <f>F137 * G137 * 428.772462</f>
        <v>140122.8405816</v>
      </c>
      <c r="I137" s="23">
        <f t="shared" si="21"/>
        <v>0</v>
      </c>
      <c r="J137" s="23">
        <f t="shared" si="19"/>
        <v>0</v>
      </c>
      <c r="K137" s="23">
        <f>F137 * G137 * 408.277138</f>
        <v>133424.96869839999</v>
      </c>
      <c r="L137" s="23">
        <f>F137 * G137 * 97.355831</f>
        <v>31815.885570800001</v>
      </c>
      <c r="M137" s="23">
        <f>F137 * G137 * 85.754492</f>
        <v>28024.567985600002</v>
      </c>
      <c r="N137" s="24">
        <f t="shared" si="20"/>
        <v>333388.26283639995</v>
      </c>
      <c r="O137" s="25">
        <f>IF(O3&gt;0,N137/O3/12,0)</f>
        <v>8.5020845589976177E-2</v>
      </c>
    </row>
    <row r="138" spans="2:15" x14ac:dyDescent="0.3">
      <c r="B138" s="18">
        <v>120</v>
      </c>
      <c r="C138" s="19" t="s">
        <v>363</v>
      </c>
      <c r="D138" s="20" t="s">
        <v>364</v>
      </c>
      <c r="E138" s="20" t="s">
        <v>365</v>
      </c>
      <c r="F138" s="21">
        <v>29.74</v>
      </c>
      <c r="G138" s="22">
        <v>1</v>
      </c>
      <c r="H138" s="23">
        <f>F138 * G138 * 350.529312</f>
        <v>10424.74173888</v>
      </c>
      <c r="I138" s="23">
        <f t="shared" si="21"/>
        <v>0</v>
      </c>
      <c r="J138" s="23">
        <f t="shared" si="19"/>
        <v>0</v>
      </c>
      <c r="K138" s="23">
        <f>F138 * G138 * 333.774011</f>
        <v>9926.4390871399992</v>
      </c>
      <c r="L138" s="23">
        <f>F138 * G138 * 79.590169</f>
        <v>2367.0116260599998</v>
      </c>
      <c r="M138" s="23">
        <f>F138 * G138 * 70.105862</f>
        <v>2084.9483358799998</v>
      </c>
      <c r="N138" s="24">
        <f t="shared" si="20"/>
        <v>24803.140787959997</v>
      </c>
      <c r="O138" s="25">
        <f>IF(O3&gt;0,N138/O3/12,0)</f>
        <v>6.3253096708878681E-3</v>
      </c>
    </row>
    <row r="139" spans="2:15" ht="27.6" x14ac:dyDescent="0.3">
      <c r="B139" s="18">
        <v>121</v>
      </c>
      <c r="C139" s="19" t="s">
        <v>366</v>
      </c>
      <c r="D139" s="20" t="s">
        <v>367</v>
      </c>
      <c r="E139" s="20" t="s">
        <v>358</v>
      </c>
      <c r="F139" s="21">
        <v>326.8</v>
      </c>
      <c r="G139" s="22">
        <v>1</v>
      </c>
      <c r="H139" s="23">
        <f>F139 * G139 * 1251.8904</f>
        <v>409117.78272000002</v>
      </c>
      <c r="I139" s="23">
        <f t="shared" si="21"/>
        <v>0</v>
      </c>
      <c r="J139" s="23">
        <f t="shared" si="19"/>
        <v>0</v>
      </c>
      <c r="K139" s="23">
        <f>F139 * G139 * 1192.050039</f>
        <v>389561.95274520002</v>
      </c>
      <c r="L139" s="23">
        <f>F139 * G139 * 284.250604</f>
        <v>92893.097387200003</v>
      </c>
      <c r="M139" s="23">
        <f>F139 * G139 * 250.37808</f>
        <v>81823.556544000006</v>
      </c>
      <c r="N139" s="24">
        <f t="shared" si="20"/>
        <v>973396.38939640007</v>
      </c>
      <c r="O139" s="25">
        <f>IF(O3&gt;0,N139/O3/12,0)</f>
        <v>0.24823604591419909</v>
      </c>
    </row>
    <row r="140" spans="2:15" ht="27.6" x14ac:dyDescent="0.3">
      <c r="B140" s="18">
        <v>122</v>
      </c>
      <c r="C140" s="19" t="s">
        <v>368</v>
      </c>
      <c r="D140" s="20" t="s">
        <v>369</v>
      </c>
      <c r="E140" s="20" t="s">
        <v>358</v>
      </c>
      <c r="F140" s="21">
        <v>326.8</v>
      </c>
      <c r="G140" s="22">
        <v>1</v>
      </c>
      <c r="H140" s="23">
        <f>F140 * G140 * 938.9178</f>
        <v>306838.33704000001</v>
      </c>
      <c r="I140" s="23">
        <f t="shared" si="21"/>
        <v>0</v>
      </c>
      <c r="J140" s="23">
        <f t="shared" si="19"/>
        <v>0</v>
      </c>
      <c r="K140" s="23">
        <f>F140 * G140 * 894.037529</f>
        <v>292171.4644772</v>
      </c>
      <c r="L140" s="23">
        <f>F140 * G140 * 213.187952</f>
        <v>69669.822713600006</v>
      </c>
      <c r="M140" s="23">
        <f>F140 * G140 * 187.78356</f>
        <v>61367.667408000001</v>
      </c>
      <c r="N140" s="24">
        <f t="shared" si="20"/>
        <v>730047.29163879994</v>
      </c>
      <c r="O140" s="25">
        <f>IF(O3&gt;0,N140/O3/12,0)</f>
        <v>0.1861770343314734</v>
      </c>
    </row>
    <row r="141" spans="2:15" x14ac:dyDescent="0.3">
      <c r="B141" s="18">
        <v>123</v>
      </c>
      <c r="C141" s="19" t="s">
        <v>370</v>
      </c>
      <c r="D141" s="20" t="s">
        <v>371</v>
      </c>
      <c r="E141" s="20" t="s">
        <v>372</v>
      </c>
      <c r="F141" s="21">
        <v>8.9570000000000007</v>
      </c>
      <c r="G141" s="22">
        <v>2</v>
      </c>
      <c r="H141" s="23">
        <f>F141 * G141 * 938.9178</f>
        <v>16819.773469200001</v>
      </c>
      <c r="I141" s="23">
        <f t="shared" si="21"/>
        <v>0</v>
      </c>
      <c r="J141" s="23">
        <f t="shared" si="19"/>
        <v>0</v>
      </c>
      <c r="K141" s="23">
        <f>F141 * G141 * 894.037529</f>
        <v>16015.788294506001</v>
      </c>
      <c r="L141" s="23">
        <f>F141 * G141 * 213.187952</f>
        <v>3819.0489721280001</v>
      </c>
      <c r="M141" s="23">
        <f>F141 * G141 * 187.78356</f>
        <v>3363.9546938400003</v>
      </c>
      <c r="N141" s="24">
        <f t="shared" si="20"/>
        <v>40018.56542967401</v>
      </c>
      <c r="O141" s="25">
        <f>IF(O3&gt;0,N141/O3/12,0)</f>
        <v>1.0205555058182424E-2</v>
      </c>
    </row>
    <row r="142" spans="2:15" x14ac:dyDescent="0.3">
      <c r="B142" s="18">
        <v>124</v>
      </c>
      <c r="C142" s="19" t="s">
        <v>373</v>
      </c>
      <c r="D142" s="20" t="s">
        <v>374</v>
      </c>
      <c r="E142" s="20" t="s">
        <v>372</v>
      </c>
      <c r="F142" s="21">
        <v>38.130000000000003</v>
      </c>
      <c r="G142" s="22">
        <v>2</v>
      </c>
      <c r="H142" s="23">
        <f>F142 * G142 * 876.32328</f>
        <v>66828.413332800003</v>
      </c>
      <c r="I142" s="23">
        <f t="shared" si="21"/>
        <v>0</v>
      </c>
      <c r="J142" s="23">
        <f t="shared" si="19"/>
        <v>0</v>
      </c>
      <c r="K142" s="23">
        <f>F142 * G142 * 834.435027</f>
        <v>63634.015159020004</v>
      </c>
      <c r="L142" s="23">
        <f>F142 * G142 * 198.975423</f>
        <v>15173.865757980002</v>
      </c>
      <c r="M142" s="23">
        <f>F142 * G142 * 175.264656</f>
        <v>13365.682666560002</v>
      </c>
      <c r="N142" s="24">
        <f t="shared" si="20"/>
        <v>159001.97691636</v>
      </c>
      <c r="O142" s="25">
        <f>IF(O3&gt;0,N142/O3/12,0)</f>
        <v>4.0548765613085125E-2</v>
      </c>
    </row>
    <row r="143" spans="2:15" ht="27.6" x14ac:dyDescent="0.3">
      <c r="B143" s="18">
        <v>125</v>
      </c>
      <c r="C143" s="19" t="s">
        <v>375</v>
      </c>
      <c r="D143" s="20" t="s">
        <v>376</v>
      </c>
      <c r="E143" s="20" t="s">
        <v>372</v>
      </c>
      <c r="F143" s="21">
        <v>96.676000000000002</v>
      </c>
      <c r="G143" s="22">
        <v>2</v>
      </c>
      <c r="H143" s="23">
        <f>F143 * G143 * 813.72876</f>
        <v>157336.08320351999</v>
      </c>
      <c r="I143" s="23">
        <f t="shared" si="21"/>
        <v>0</v>
      </c>
      <c r="J143" s="23">
        <f t="shared" si="19"/>
        <v>0</v>
      </c>
      <c r="K143" s="23">
        <f>F143 * G143 * 774.832524999999</f>
        <v>149815.41837379982</v>
      </c>
      <c r="L143" s="23">
        <f>F143 * G143 * 184.762892</f>
        <v>35724.274693984</v>
      </c>
      <c r="M143" s="23">
        <f>F143 * G143 * 162.745752</f>
        <v>31467.216640704002</v>
      </c>
      <c r="N143" s="24">
        <f t="shared" si="20"/>
        <v>374342.99291200785</v>
      </c>
      <c r="O143" s="25">
        <f>IF(O3&gt;0,N143/O3/12,0)</f>
        <v>9.546514183578042E-2</v>
      </c>
    </row>
    <row r="144" spans="2:15" ht="27.6" x14ac:dyDescent="0.3">
      <c r="B144" s="18">
        <v>126</v>
      </c>
      <c r="C144" s="19" t="s">
        <v>377</v>
      </c>
      <c r="D144" s="20" t="s">
        <v>378</v>
      </c>
      <c r="E144" s="20" t="s">
        <v>379</v>
      </c>
      <c r="F144" s="21">
        <v>53.44</v>
      </c>
      <c r="G144" s="22">
        <v>1</v>
      </c>
      <c r="H144" s="23">
        <f>F144 * G144 * 18778.356</f>
        <v>1003515.3446399999</v>
      </c>
      <c r="I144" s="23">
        <f t="shared" si="21"/>
        <v>0</v>
      </c>
      <c r="J144" s="23">
        <f t="shared" si="19"/>
        <v>0</v>
      </c>
      <c r="K144" s="23">
        <f>F144 * G144 * 17880.750583</f>
        <v>955547.31115552003</v>
      </c>
      <c r="L144" s="23">
        <f>F144 * G144 * 4263.759056</f>
        <v>227855.28395263999</v>
      </c>
      <c r="M144" s="23">
        <f>F144 * G144 * 3755.6712</f>
        <v>200703.06892799999</v>
      </c>
      <c r="N144" s="24">
        <f t="shared" si="20"/>
        <v>2387621.0086761601</v>
      </c>
      <c r="O144" s="25">
        <f>IF(O3&gt;0,N144/O3/12,0)</f>
        <v>0.60889233285832201</v>
      </c>
    </row>
    <row r="145" spans="2:15" ht="27.6" x14ac:dyDescent="0.3">
      <c r="B145" s="18">
        <v>127</v>
      </c>
      <c r="C145" s="19" t="s">
        <v>380</v>
      </c>
      <c r="D145" s="20" t="s">
        <v>381</v>
      </c>
      <c r="E145" s="20" t="s">
        <v>358</v>
      </c>
      <c r="F145" s="21">
        <v>326.8</v>
      </c>
      <c r="G145" s="22">
        <v>2</v>
      </c>
      <c r="H145" s="23">
        <f>F145 * G145 * 1163.07828</f>
        <v>760187.96380799997</v>
      </c>
      <c r="I145" s="23">
        <f t="shared" si="21"/>
        <v>0</v>
      </c>
      <c r="J145" s="23">
        <f t="shared" si="19"/>
        <v>0</v>
      </c>
      <c r="K145" s="23">
        <f>F145 * G145 * 1107.483138</f>
        <v>723850.97899680003</v>
      </c>
      <c r="L145" s="23">
        <f>F145 * G145 * 264.085181</f>
        <v>172606.07430159999</v>
      </c>
      <c r="M145" s="23">
        <f>F145 * G145 * 232.615656</f>
        <v>152037.59276160001</v>
      </c>
      <c r="N145" s="24">
        <f t="shared" si="20"/>
        <v>1808682.6098679998</v>
      </c>
      <c r="O145" s="25">
        <f>IF(O3&gt;0,N145/O3/12,0)</f>
        <v>0.46125116579260933</v>
      </c>
    </row>
    <row r="146" spans="2:15" ht="27.6" x14ac:dyDescent="0.3">
      <c r="B146" s="18">
        <v>128</v>
      </c>
      <c r="C146" s="19" t="s">
        <v>382</v>
      </c>
      <c r="D146" s="20" t="s">
        <v>383</v>
      </c>
      <c r="E146" s="20" t="s">
        <v>358</v>
      </c>
      <c r="F146" s="21">
        <v>326.8</v>
      </c>
      <c r="G146" s="22">
        <v>3</v>
      </c>
      <c r="H146" s="23">
        <f>F146 * G146 * 1163.07828</f>
        <v>1140281.9457120001</v>
      </c>
      <c r="I146" s="23">
        <f t="shared" si="21"/>
        <v>0</v>
      </c>
      <c r="J146" s="23">
        <f t="shared" si="19"/>
        <v>0</v>
      </c>
      <c r="K146" s="23">
        <f>F146 * G146 * 1107.483138</f>
        <v>1085776.4684952002</v>
      </c>
      <c r="L146" s="23">
        <f>F146 * G146 * 264.085181</f>
        <v>258909.11145240001</v>
      </c>
      <c r="M146" s="23">
        <f>F146 * G146 * 232.615656</f>
        <v>228056.38914240003</v>
      </c>
      <c r="N146" s="24">
        <f t="shared" si="20"/>
        <v>2713023.9148020009</v>
      </c>
      <c r="O146" s="25">
        <f>IF(O3&gt;0,N146/O3/12,0)</f>
        <v>0.69187674868891424</v>
      </c>
    </row>
    <row r="147" spans="2:15" ht="27.6" x14ac:dyDescent="0.3">
      <c r="B147" s="18">
        <v>129</v>
      </c>
      <c r="C147" s="19" t="s">
        <v>384</v>
      </c>
      <c r="D147" s="20" t="s">
        <v>385</v>
      </c>
      <c r="E147" s="20" t="s">
        <v>358</v>
      </c>
      <c r="F147" s="21">
        <v>326.8</v>
      </c>
      <c r="G147" s="22">
        <v>1</v>
      </c>
      <c r="H147" s="23">
        <f>F147 * G147 * 1163.07828</f>
        <v>380093.98190399999</v>
      </c>
      <c r="I147" s="23">
        <f t="shared" si="21"/>
        <v>0</v>
      </c>
      <c r="J147" s="23">
        <f t="shared" si="19"/>
        <v>0</v>
      </c>
      <c r="K147" s="23">
        <f>F147 * G147 * 1107.483138</f>
        <v>361925.48949840001</v>
      </c>
      <c r="L147" s="23">
        <f>F147 * G147 * 264.085181</f>
        <v>86303.037150799995</v>
      </c>
      <c r="M147" s="23">
        <f>F147 * G147 * 232.615656</f>
        <v>76018.796380800006</v>
      </c>
      <c r="N147" s="24">
        <f t="shared" si="20"/>
        <v>904341.3049339999</v>
      </c>
      <c r="O147" s="25">
        <f>IF(O3&gt;0,N147/O3/12,0)</f>
        <v>0.23062558289630467</v>
      </c>
    </row>
    <row r="148" spans="2:15" ht="27.6" x14ac:dyDescent="0.3">
      <c r="B148" s="18">
        <v>130</v>
      </c>
      <c r="C148" s="19" t="s">
        <v>386</v>
      </c>
      <c r="D148" s="20" t="s">
        <v>387</v>
      </c>
      <c r="E148" s="20" t="s">
        <v>388</v>
      </c>
      <c r="F148" s="21">
        <v>4.82</v>
      </c>
      <c r="G148" s="22">
        <v>1</v>
      </c>
      <c r="H148" s="23">
        <f>F148 * G148 * 2816.7534</f>
        <v>13576.751388000001</v>
      </c>
      <c r="I148" s="23">
        <f t="shared" si="21"/>
        <v>0</v>
      </c>
      <c r="J148" s="23">
        <f t="shared" si="19"/>
        <v>0</v>
      </c>
      <c r="K148" s="23">
        <f>F148 * G148 * 2682.112587</f>
        <v>12927.782669340002</v>
      </c>
      <c r="L148" s="23">
        <f>F148 * G148 * 639.563858</f>
        <v>3082.69779556</v>
      </c>
      <c r="M148" s="23">
        <f>F148 * G148 * 563.35068</f>
        <v>2715.3502776</v>
      </c>
      <c r="N148" s="24">
        <f t="shared" si="20"/>
        <v>32302.582130500003</v>
      </c>
      <c r="O148" s="25">
        <f>IF(O3&gt;0,N148/O3/12,0)</f>
        <v>8.2378210441753693E-3</v>
      </c>
    </row>
    <row r="149" spans="2:15" x14ac:dyDescent="0.3">
      <c r="B149" s="18">
        <v>131</v>
      </c>
      <c r="C149" s="19" t="s">
        <v>389</v>
      </c>
      <c r="D149" s="20" t="s">
        <v>390</v>
      </c>
      <c r="E149" s="20" t="s">
        <v>120</v>
      </c>
      <c r="F149" s="21">
        <v>170</v>
      </c>
      <c r="G149" s="22">
        <v>1</v>
      </c>
      <c r="H149" s="23">
        <f>F149 * G149 * 1384.617</f>
        <v>235384.88999999998</v>
      </c>
      <c r="I149" s="23">
        <f>F149 * G149 * 972.602</f>
        <v>165342.34</v>
      </c>
      <c r="J149" s="23">
        <f t="shared" si="19"/>
        <v>0</v>
      </c>
      <c r="K149" s="23">
        <f>F149 * G149 * 1318.432307</f>
        <v>224133.49219000002</v>
      </c>
      <c r="L149" s="23">
        <f>F149 * G149 * 416.996632</f>
        <v>70889.427439999999</v>
      </c>
      <c r="M149" s="23">
        <f>F149 * G149 * 276.9234</f>
        <v>47076.978000000003</v>
      </c>
      <c r="N149" s="24">
        <f t="shared" si="20"/>
        <v>742827.12763</v>
      </c>
      <c r="O149" s="25">
        <f>IF(O3&gt;0,N149/O3/12,0)</f>
        <v>0.1894361546533134</v>
      </c>
    </row>
    <row r="150" spans="2:15" x14ac:dyDescent="0.3">
      <c r="B150" s="18">
        <v>132</v>
      </c>
      <c r="C150" s="19" t="s">
        <v>391</v>
      </c>
      <c r="D150" s="20" t="s">
        <v>392</v>
      </c>
      <c r="E150" s="20" t="s">
        <v>393</v>
      </c>
      <c r="F150" s="21">
        <v>3000</v>
      </c>
      <c r="G150" s="22">
        <v>1</v>
      </c>
      <c r="H150" s="23">
        <f>F150 * G150 * 79.286391</f>
        <v>237859.17299999998</v>
      </c>
      <c r="I150" s="23">
        <f>F150 * G150 * 0</f>
        <v>0</v>
      </c>
      <c r="J150" s="23">
        <f t="shared" si="19"/>
        <v>0</v>
      </c>
      <c r="K150" s="23">
        <f>F150 * G150 * 75.496501</f>
        <v>226489.503</v>
      </c>
      <c r="L150" s="23">
        <f>F150 * G150 * 18.0025379999999</f>
        <v>54007.613999999696</v>
      </c>
      <c r="M150" s="23">
        <f>F150 * G150 * 15.857278</f>
        <v>47571.834000000003</v>
      </c>
      <c r="N150" s="24">
        <f t="shared" si="20"/>
        <v>565928.12399999972</v>
      </c>
      <c r="O150" s="25">
        <f>IF(O3&gt;0,N150/O3/12,0)</f>
        <v>0.14432328011871301</v>
      </c>
    </row>
    <row r="151" spans="2:15" ht="27.6" x14ac:dyDescent="0.3">
      <c r="B151" s="18">
        <v>133</v>
      </c>
      <c r="C151" s="19" t="s">
        <v>394</v>
      </c>
      <c r="D151" s="20" t="s">
        <v>395</v>
      </c>
      <c r="E151" s="20" t="s">
        <v>358</v>
      </c>
      <c r="F151" s="21">
        <v>326.8</v>
      </c>
      <c r="G151" s="22">
        <v>1</v>
      </c>
      <c r="H151" s="23">
        <f>F151 * G151 * 3129.726</f>
        <v>1022794.4568</v>
      </c>
      <c r="I151" s="23">
        <f>F151 * G151 * 0</f>
        <v>0</v>
      </c>
      <c r="J151" s="23">
        <f t="shared" si="19"/>
        <v>0</v>
      </c>
      <c r="K151" s="23">
        <f>F151 * G151 * 2980.125097</f>
        <v>973904.88169960002</v>
      </c>
      <c r="L151" s="23">
        <f>F151 * G151 * 710.626509</f>
        <v>232232.74314120002</v>
      </c>
      <c r="M151" s="23">
        <f>F151 * G151 * 625.9452</f>
        <v>204558.89136000001</v>
      </c>
      <c r="N151" s="24">
        <f t="shared" si="20"/>
        <v>2433490.9730008002</v>
      </c>
      <c r="O151" s="25">
        <f>IF(O3&gt;0,N151/O3/12,0)</f>
        <v>0.62059011466048675</v>
      </c>
    </row>
    <row r="152" spans="2:15" ht="41.4" x14ac:dyDescent="0.3">
      <c r="B152" s="18">
        <v>134</v>
      </c>
      <c r="C152" s="19" t="s">
        <v>396</v>
      </c>
      <c r="D152" s="20" t="s">
        <v>397</v>
      </c>
      <c r="E152" s="20" t="s">
        <v>398</v>
      </c>
      <c r="F152" s="21">
        <v>129.97999999999999</v>
      </c>
      <c r="G152" s="22">
        <v>1</v>
      </c>
      <c r="H152" s="23">
        <f>F152 * G152 * 1251.8904</f>
        <v>162720.71419199998</v>
      </c>
      <c r="I152" s="23">
        <f>F152 * G152 * 0</f>
        <v>0</v>
      </c>
      <c r="J152" s="23">
        <f t="shared" si="19"/>
        <v>0</v>
      </c>
      <c r="K152" s="23">
        <f>F152 * G152 * 1192.050039</f>
        <v>154942.66406921999</v>
      </c>
      <c r="L152" s="23">
        <f>F152 * G152 * 284.250604</f>
        <v>36946.893507920002</v>
      </c>
      <c r="M152" s="23">
        <f>F152 * G152 * 250.37808</f>
        <v>32544.142838399999</v>
      </c>
      <c r="N152" s="24">
        <f t="shared" si="20"/>
        <v>387154.41460753989</v>
      </c>
      <c r="O152" s="25">
        <f>IF(O3&gt;0,N152/O3/12,0)</f>
        <v>9.8732317160121139E-2</v>
      </c>
    </row>
    <row r="153" spans="2:15" x14ac:dyDescent="0.3">
      <c r="B153" s="18">
        <v>135</v>
      </c>
      <c r="C153" s="19" t="s">
        <v>399</v>
      </c>
      <c r="D153" s="20" t="s">
        <v>400</v>
      </c>
      <c r="E153" s="20" t="s">
        <v>401</v>
      </c>
      <c r="F153" s="21">
        <v>126</v>
      </c>
      <c r="G153" s="22">
        <v>1</v>
      </c>
      <c r="H153" s="23">
        <f>F153 * G153 * 1107.6936</f>
        <v>139569.39360000001</v>
      </c>
      <c r="I153" s="23">
        <f>F153 * G153 * 0</f>
        <v>0</v>
      </c>
      <c r="J153" s="23">
        <f t="shared" si="19"/>
        <v>0</v>
      </c>
      <c r="K153" s="23">
        <f>F153 * G153 * 1054.745846</f>
        <v>132897.97659599999</v>
      </c>
      <c r="L153" s="23">
        <f>F153 * G153 * 251.509697</f>
        <v>31690.221822</v>
      </c>
      <c r="M153" s="23">
        <f>F153 * G153 * 221.53872</f>
        <v>27913.878720000001</v>
      </c>
      <c r="N153" s="24">
        <f t="shared" si="20"/>
        <v>332071.47073799995</v>
      </c>
      <c r="O153" s="25">
        <f>IF(O3&gt;0,N153/O3/12,0)</f>
        <v>8.4685036594423432E-2</v>
      </c>
    </row>
    <row r="154" spans="2:15" ht="27.6" x14ac:dyDescent="0.3">
      <c r="B154" s="18">
        <v>136</v>
      </c>
      <c r="C154" s="19" t="s">
        <v>402</v>
      </c>
      <c r="D154" s="20" t="s">
        <v>403</v>
      </c>
      <c r="E154" s="20" t="s">
        <v>226</v>
      </c>
      <c r="F154" s="21">
        <v>1000</v>
      </c>
      <c r="G154" s="22">
        <v>1</v>
      </c>
      <c r="H154" s="23">
        <f>F154 * G154 * 1061.599782</f>
        <v>1061599.7819999999</v>
      </c>
      <c r="I154" s="23">
        <f>F154 * G154 * 9.279315</f>
        <v>9279.3150000000005</v>
      </c>
      <c r="J154" s="23">
        <f t="shared" si="19"/>
        <v>0</v>
      </c>
      <c r="K154" s="23">
        <f>F154 * G154 * 1010.85531199999</f>
        <v>1010855.31199999</v>
      </c>
      <c r="L154" s="23">
        <f>F154 * G154 * 242.022735999999</f>
        <v>242022.73599999899</v>
      </c>
      <c r="M154" s="23">
        <f>F154 * G154 * 212.319956</f>
        <v>212319.95599999998</v>
      </c>
      <c r="N154" s="24">
        <f t="shared" si="20"/>
        <v>2536077.1009999886</v>
      </c>
      <c r="O154" s="25">
        <f>IF(O3&gt;0,N154/O3/12,0)</f>
        <v>0.64675168157975327</v>
      </c>
    </row>
    <row r="155" spans="2:15" ht="27.6" x14ac:dyDescent="0.3">
      <c r="B155" s="18">
        <v>137</v>
      </c>
      <c r="C155" s="19" t="s">
        <v>404</v>
      </c>
      <c r="D155" s="20" t="s">
        <v>405</v>
      </c>
      <c r="E155" s="20" t="s">
        <v>406</v>
      </c>
      <c r="F155" s="21">
        <v>12719.17</v>
      </c>
      <c r="G155" s="22">
        <v>1</v>
      </c>
      <c r="H155" s="23">
        <f>F155 * G155 * 256.60476</f>
        <v>3263799.5652492</v>
      </c>
      <c r="I155" s="23">
        <f>F155 * G155 * 7.007926</f>
        <v>89135.002141420002</v>
      </c>
      <c r="J155" s="23">
        <f t="shared" si="19"/>
        <v>0</v>
      </c>
      <c r="K155" s="23">
        <f>F155 * G155 * 244.339051999999</f>
        <v>3107789.9400268272</v>
      </c>
      <c r="L155" s="23">
        <f>F155 * G155 * 59.003268</f>
        <v>750472.59624756</v>
      </c>
      <c r="M155" s="23">
        <f>F155 * G155 * 51.320952</f>
        <v>652759.91304984002</v>
      </c>
      <c r="N155" s="24">
        <f t="shared" si="20"/>
        <v>7863957.0167148476</v>
      </c>
      <c r="O155" s="25">
        <f>IF(O3&gt;0,N155/O3/12,0)</f>
        <v>2.0054703472641981</v>
      </c>
    </row>
    <row r="156" spans="2:15" x14ac:dyDescent="0.3">
      <c r="B156" s="18">
        <v>138</v>
      </c>
      <c r="C156" s="19" t="s">
        <v>407</v>
      </c>
      <c r="D156" s="20" t="s">
        <v>408</v>
      </c>
      <c r="E156" s="20" t="s">
        <v>409</v>
      </c>
      <c r="F156" s="21">
        <v>1</v>
      </c>
      <c r="G156" s="22">
        <v>1</v>
      </c>
      <c r="H156" s="23">
        <f>F156 * G156 * 9702.1506</f>
        <v>9702.1506000000008</v>
      </c>
      <c r="I156" s="23">
        <f>F156 * G156 * 654.56148</f>
        <v>654.56147999999996</v>
      </c>
      <c r="J156" s="23">
        <f t="shared" si="19"/>
        <v>0</v>
      </c>
      <c r="K156" s="23">
        <f>F156 * G156 * 9238.387801</f>
        <v>9238.3878010000008</v>
      </c>
      <c r="L156" s="23">
        <f>F156 * G156 * 2271.998415</f>
        <v>2271.998415</v>
      </c>
      <c r="M156" s="23">
        <f>F156 * G156 * 1940.43012</f>
        <v>1940.43012</v>
      </c>
      <c r="N156" s="24">
        <f t="shared" si="20"/>
        <v>23807.528416000005</v>
      </c>
      <c r="O156" s="25">
        <f>IF(O3&gt;0,N156/O3/12,0)</f>
        <v>6.0714080937186122E-3</v>
      </c>
    </row>
    <row r="157" spans="2:15" ht="27.6" x14ac:dyDescent="0.3">
      <c r="B157" s="18">
        <v>139</v>
      </c>
      <c r="C157" s="19" t="s">
        <v>410</v>
      </c>
      <c r="D157" s="20" t="s">
        <v>411</v>
      </c>
      <c r="E157" s="20" t="s">
        <v>412</v>
      </c>
      <c r="F157" s="21">
        <v>2</v>
      </c>
      <c r="G157" s="22">
        <v>1</v>
      </c>
      <c r="H157" s="23">
        <f>F157 * G157 * 15507.7104</f>
        <v>31015.4208</v>
      </c>
      <c r="I157" s="23">
        <f>F157 * G157 * 0</f>
        <v>0</v>
      </c>
      <c r="J157" s="23">
        <f t="shared" si="19"/>
        <v>0</v>
      </c>
      <c r="K157" s="23">
        <f>F157 * G157 * 14766.441843</f>
        <v>29532.883686000001</v>
      </c>
      <c r="L157" s="23">
        <f>F157 * G157 * 3521.135751</f>
        <v>7042.2715019999996</v>
      </c>
      <c r="M157" s="23">
        <f>F157 * G157 * 3101.54208</f>
        <v>6203.0841600000003</v>
      </c>
      <c r="N157" s="24">
        <f t="shared" si="20"/>
        <v>73793.660147999995</v>
      </c>
      <c r="O157" s="25">
        <f>IF(O3&gt;0,N157/O3/12,0)</f>
        <v>1.8818897016902657E-2</v>
      </c>
    </row>
    <row r="158" spans="2:15" ht="27.6" x14ac:dyDescent="0.3">
      <c r="B158" s="18">
        <v>140</v>
      </c>
      <c r="C158" s="19" t="s">
        <v>413</v>
      </c>
      <c r="D158" s="20" t="s">
        <v>414</v>
      </c>
      <c r="E158" s="20" t="s">
        <v>229</v>
      </c>
      <c r="F158" s="21">
        <v>0.5</v>
      </c>
      <c r="G158" s="22">
        <v>1</v>
      </c>
      <c r="H158" s="23">
        <f>F158 * G158 * 5261.5446</f>
        <v>2630.7723000000001</v>
      </c>
      <c r="I158" s="23">
        <f>F158 * G158 * 0</f>
        <v>0</v>
      </c>
      <c r="J158" s="23">
        <f t="shared" si="19"/>
        <v>0</v>
      </c>
      <c r="K158" s="23">
        <f>F158 * G158 * 5010.042768</f>
        <v>2505.0213840000001</v>
      </c>
      <c r="L158" s="23">
        <f>F158 * G158 * 1194.671058</f>
        <v>597.33552899999995</v>
      </c>
      <c r="M158" s="23">
        <f>F158 * G158 * 1052.30892</f>
        <v>526.15445999999997</v>
      </c>
      <c r="N158" s="24">
        <f t="shared" si="20"/>
        <v>6259.2836729999999</v>
      </c>
      <c r="O158" s="25">
        <f>IF(O3&gt;0,N158/O3/12,0)</f>
        <v>1.59624572904397E-3</v>
      </c>
    </row>
    <row r="159" spans="2:15" x14ac:dyDescent="0.3">
      <c r="B159" s="18">
        <v>141</v>
      </c>
      <c r="C159" s="19" t="s">
        <v>415</v>
      </c>
      <c r="D159" s="20" t="s">
        <v>416</v>
      </c>
      <c r="E159" s="20" t="s">
        <v>249</v>
      </c>
      <c r="F159" s="21"/>
      <c r="G159" s="22">
        <v>1</v>
      </c>
      <c r="H159" s="23">
        <f>F159 * G159 * 13846.17</f>
        <v>0</v>
      </c>
      <c r="I159" s="23">
        <f>F159 * G159 * 14787.466424</f>
        <v>0</v>
      </c>
      <c r="J159" s="23">
        <f t="shared" si="19"/>
        <v>0</v>
      </c>
      <c r="K159" s="23">
        <f>F159 * G159 * 13184.323074</f>
        <v>0</v>
      </c>
      <c r="L159" s="23">
        <f>F159 * G159 * 4703.948914</f>
        <v>0</v>
      </c>
      <c r="M159" s="23">
        <f>F159 * G159 * 2769.234</f>
        <v>0</v>
      </c>
      <c r="N159" s="24">
        <f t="shared" si="20"/>
        <v>0</v>
      </c>
      <c r="O159" s="25">
        <f>IF(O3&gt;0,N159/O3/12,0)</f>
        <v>0</v>
      </c>
    </row>
    <row r="160" spans="2:15" ht="27.6" x14ac:dyDescent="0.3">
      <c r="B160" s="18">
        <v>142</v>
      </c>
      <c r="C160" s="19" t="s">
        <v>417</v>
      </c>
      <c r="D160" s="20" t="s">
        <v>418</v>
      </c>
      <c r="E160" s="20" t="s">
        <v>226</v>
      </c>
      <c r="F160" s="21"/>
      <c r="G160" s="22">
        <v>1</v>
      </c>
      <c r="H160" s="23">
        <f>F160 * G160 * 8084.0331</f>
        <v>0</v>
      </c>
      <c r="I160" s="23">
        <f>F160 * G160 * 3134.989873</f>
        <v>0</v>
      </c>
      <c r="J160" s="23">
        <f t="shared" si="19"/>
        <v>0</v>
      </c>
      <c r="K160" s="23">
        <f>F160 * G160 * 7697.616318</f>
        <v>0</v>
      </c>
      <c r="L160" s="23">
        <f>F160 * G160 * 2166.278544</f>
        <v>0</v>
      </c>
      <c r="M160" s="23">
        <f>F160 * G160 * 1616.80662</f>
        <v>0</v>
      </c>
      <c r="N160" s="24">
        <f t="shared" si="20"/>
        <v>0</v>
      </c>
      <c r="O160" s="25">
        <f>IF(O3&gt;0,N160/O3/12,0)</f>
        <v>0</v>
      </c>
    </row>
    <row r="161" spans="2:15" ht="41.4" x14ac:dyDescent="0.3">
      <c r="B161" s="18">
        <v>143</v>
      </c>
      <c r="C161" s="19" t="s">
        <v>419</v>
      </c>
      <c r="D161" s="20" t="s">
        <v>420</v>
      </c>
      <c r="E161" s="20" t="s">
        <v>421</v>
      </c>
      <c r="F161" s="21">
        <v>54</v>
      </c>
      <c r="G161" s="22">
        <v>12</v>
      </c>
      <c r="H161" s="23">
        <f>F161 * G161 * 31.29726</f>
        <v>20280.624480000002</v>
      </c>
      <c r="I161" s="23">
        <f t="shared" ref="I161:I172" si="22">F161 * G161 * 0</f>
        <v>0</v>
      </c>
      <c r="J161" s="23">
        <f t="shared" si="19"/>
        <v>0</v>
      </c>
      <c r="K161" s="23">
        <f>F161 * G161 * 29.801251</f>
        <v>19311.210648</v>
      </c>
      <c r="L161" s="23">
        <f>F161 * G161 * 7.106265</f>
        <v>4604.8597199999995</v>
      </c>
      <c r="M161" s="23">
        <f>F161 * G161 * 6.259452</f>
        <v>4056.1248959999998</v>
      </c>
      <c r="N161" s="24">
        <f t="shared" si="20"/>
        <v>48252.819744000008</v>
      </c>
      <c r="O161" s="25">
        <f>IF(O3&gt;0,N161/O3/12,0)</f>
        <v>1.2305458811994087E-2</v>
      </c>
    </row>
    <row r="162" spans="2:15" ht="27.6" x14ac:dyDescent="0.3">
      <c r="B162" s="18">
        <v>144</v>
      </c>
      <c r="C162" s="19" t="s">
        <v>422</v>
      </c>
      <c r="D162" s="20" t="s">
        <v>423</v>
      </c>
      <c r="E162" s="20" t="s">
        <v>421</v>
      </c>
      <c r="F162" s="21">
        <v>54</v>
      </c>
      <c r="G162" s="22">
        <v>12</v>
      </c>
      <c r="H162" s="23">
        <f>F162 * G162 * 27.69234</f>
        <v>17944.636320000001</v>
      </c>
      <c r="I162" s="23">
        <f t="shared" si="22"/>
        <v>0</v>
      </c>
      <c r="J162" s="23">
        <f t="shared" si="19"/>
        <v>0</v>
      </c>
      <c r="K162" s="23">
        <f>F162 * G162 * 26.368646</f>
        <v>17086.882608</v>
      </c>
      <c r="L162" s="23">
        <f>F162 * G162 * 6.287742</f>
        <v>4074.4568159999999</v>
      </c>
      <c r="M162" s="23">
        <f>F162 * G162 * 5.538468</f>
        <v>3588.9272639999999</v>
      </c>
      <c r="N162" s="24">
        <f t="shared" si="20"/>
        <v>42694.903008000001</v>
      </c>
      <c r="O162" s="25">
        <f>IF(O3&gt;0,N162/O3/12,0)</f>
        <v>1.0888076038548085E-2</v>
      </c>
    </row>
    <row r="163" spans="2:15" ht="27.6" x14ac:dyDescent="0.3">
      <c r="B163" s="18">
        <v>145</v>
      </c>
      <c r="C163" s="19" t="s">
        <v>424</v>
      </c>
      <c r="D163" s="20" t="s">
        <v>425</v>
      </c>
      <c r="E163" s="20" t="s">
        <v>421</v>
      </c>
      <c r="F163" s="21"/>
      <c r="G163" s="22">
        <v>1</v>
      </c>
      <c r="H163" s="23">
        <f>F163 * G163 * 225.340272</f>
        <v>0</v>
      </c>
      <c r="I163" s="23">
        <f t="shared" si="22"/>
        <v>0</v>
      </c>
      <c r="J163" s="23">
        <f t="shared" si="19"/>
        <v>0</v>
      </c>
      <c r="K163" s="23">
        <f>F163 * G163 * 214.569007</f>
        <v>0</v>
      </c>
      <c r="L163" s="23">
        <f>F163 * G163 * 51.165109</f>
        <v>0</v>
      </c>
      <c r="M163" s="23">
        <f>F163 * G163 * 45.068054</f>
        <v>0</v>
      </c>
      <c r="N163" s="24">
        <f t="shared" si="20"/>
        <v>0</v>
      </c>
      <c r="O163" s="25">
        <f>IF(O3&gt;0,N163/O3/12,0)</f>
        <v>0</v>
      </c>
    </row>
    <row r="164" spans="2:15" ht="27.6" x14ac:dyDescent="0.3">
      <c r="B164" s="18">
        <v>146</v>
      </c>
      <c r="C164" s="19" t="s">
        <v>426</v>
      </c>
      <c r="D164" s="20" t="s">
        <v>427</v>
      </c>
      <c r="E164" s="20" t="s">
        <v>421</v>
      </c>
      <c r="F164" s="21">
        <v>54</v>
      </c>
      <c r="G164" s="22">
        <v>12</v>
      </c>
      <c r="H164" s="23">
        <f>F164 * G164 * 31.29726</f>
        <v>20280.624480000002</v>
      </c>
      <c r="I164" s="23">
        <f t="shared" si="22"/>
        <v>0</v>
      </c>
      <c r="J164" s="23">
        <f t="shared" si="19"/>
        <v>0</v>
      </c>
      <c r="K164" s="23">
        <f>F164 * G164 * 29.801251</f>
        <v>19311.210648</v>
      </c>
      <c r="L164" s="23">
        <f>F164 * G164 * 7.106265</f>
        <v>4604.8597199999995</v>
      </c>
      <c r="M164" s="23">
        <f>F164 * G164 * 6.259452</f>
        <v>4056.1248959999998</v>
      </c>
      <c r="N164" s="24">
        <f t="shared" si="20"/>
        <v>48252.819744000008</v>
      </c>
      <c r="O164" s="25">
        <f>IF(O3&gt;0,N164/O3/12,0)</f>
        <v>1.2305458811994087E-2</v>
      </c>
    </row>
    <row r="165" spans="2:15" ht="27.6" x14ac:dyDescent="0.3">
      <c r="B165" s="18">
        <v>147</v>
      </c>
      <c r="C165" s="19" t="s">
        <v>428</v>
      </c>
      <c r="D165" s="20" t="s">
        <v>429</v>
      </c>
      <c r="E165" s="20" t="s">
        <v>421</v>
      </c>
      <c r="F165" s="21">
        <v>23</v>
      </c>
      <c r="G165" s="22">
        <v>12</v>
      </c>
      <c r="H165" s="23">
        <f>F165 * G165 * 50.075616</f>
        <v>13820.870015999999</v>
      </c>
      <c r="I165" s="23">
        <f t="shared" si="22"/>
        <v>0</v>
      </c>
      <c r="J165" s="23">
        <f t="shared" si="19"/>
        <v>0</v>
      </c>
      <c r="K165" s="23">
        <f>F165 * G165 * 47.682001</f>
        <v>13160.232276000001</v>
      </c>
      <c r="L165" s="23">
        <f>F165 * G165 * 11.370024</f>
        <v>3138.1266240000004</v>
      </c>
      <c r="M165" s="23">
        <f>F165 * G165 * 10.015123</f>
        <v>2764.1739480000001</v>
      </c>
      <c r="N165" s="24">
        <f t="shared" si="20"/>
        <v>32883.402864000003</v>
      </c>
      <c r="O165" s="25">
        <f>IF(O3&gt;0,N165/O3/12,0)</f>
        <v>8.3859422451985511E-3</v>
      </c>
    </row>
    <row r="166" spans="2:15" ht="41.4" x14ac:dyDescent="0.3">
      <c r="B166" s="18">
        <v>148</v>
      </c>
      <c r="C166" s="19" t="s">
        <v>430</v>
      </c>
      <c r="D166" s="20" t="s">
        <v>431</v>
      </c>
      <c r="E166" s="20" t="s">
        <v>432</v>
      </c>
      <c r="F166" s="21">
        <v>23</v>
      </c>
      <c r="G166" s="22">
        <v>2</v>
      </c>
      <c r="H166" s="23">
        <f>F166 * G166 * 238.154124</f>
        <v>10955.089704</v>
      </c>
      <c r="I166" s="23">
        <f t="shared" si="22"/>
        <v>0</v>
      </c>
      <c r="J166" s="23">
        <f t="shared" si="19"/>
        <v>0</v>
      </c>
      <c r="K166" s="23">
        <f>F166 * G166 * 226.770357</f>
        <v>10431.436421999999</v>
      </c>
      <c r="L166" s="23">
        <f>F166 * G166 * 54.074585</f>
        <v>2487.43091</v>
      </c>
      <c r="M166" s="23">
        <f>F166 * G166 * 47.630825</f>
        <v>2191.0179499999999</v>
      </c>
      <c r="N166" s="24">
        <f t="shared" si="20"/>
        <v>26064.974985999997</v>
      </c>
      <c r="O166" s="25">
        <f>IF(O3&gt;0,N166/O3/12,0)</f>
        <v>6.6471032745347844E-3</v>
      </c>
    </row>
    <row r="167" spans="2:15" ht="41.4" x14ac:dyDescent="0.3">
      <c r="B167" s="18">
        <v>149</v>
      </c>
      <c r="C167" s="19" t="s">
        <v>433</v>
      </c>
      <c r="D167" s="20" t="s">
        <v>434</v>
      </c>
      <c r="E167" s="20" t="s">
        <v>435</v>
      </c>
      <c r="F167" s="21">
        <v>44</v>
      </c>
      <c r="G167" s="22">
        <v>12</v>
      </c>
      <c r="H167" s="23">
        <f>F167 * G167 * 45.22536</f>
        <v>23878.99008</v>
      </c>
      <c r="I167" s="23">
        <f t="shared" si="22"/>
        <v>0</v>
      </c>
      <c r="J167" s="23">
        <f t="shared" si="19"/>
        <v>0</v>
      </c>
      <c r="K167" s="23">
        <f>F167 * G167 * 43.063588</f>
        <v>22737.574464000001</v>
      </c>
      <c r="L167" s="23">
        <f>F167 * G167 * 10.268739</f>
        <v>5421.8941919999997</v>
      </c>
      <c r="M167" s="23">
        <f>F167 * G167 * 9.045072</f>
        <v>4775.7980159999997</v>
      </c>
      <c r="N167" s="24">
        <f t="shared" si="20"/>
        <v>56814.256752000001</v>
      </c>
      <c r="O167" s="25">
        <f>IF(O3&gt;0,N167/O3/12,0)</f>
        <v>1.4488800863968693E-2</v>
      </c>
    </row>
    <row r="168" spans="2:15" ht="41.4" x14ac:dyDescent="0.3">
      <c r="B168" s="18">
        <v>150</v>
      </c>
      <c r="C168" s="19" t="s">
        <v>436</v>
      </c>
      <c r="D168" s="20" t="s">
        <v>437</v>
      </c>
      <c r="E168" s="20" t="s">
        <v>435</v>
      </c>
      <c r="F168" s="21">
        <v>44</v>
      </c>
      <c r="G168" s="22">
        <v>0.3</v>
      </c>
      <c r="H168" s="23">
        <f>F168 * G168 * 50.075616</f>
        <v>660.99813119999988</v>
      </c>
      <c r="I168" s="23">
        <f t="shared" si="22"/>
        <v>0</v>
      </c>
      <c r="J168" s="23">
        <f t="shared" si="19"/>
        <v>0</v>
      </c>
      <c r="K168" s="23">
        <f>F168 * G168 * 47.682001</f>
        <v>629.40241319999996</v>
      </c>
      <c r="L168" s="23">
        <f>F168 * G168 * 11.370024</f>
        <v>150.08431680000001</v>
      </c>
      <c r="M168" s="23">
        <f>F168 * G168 * 10.015123</f>
        <v>132.1996236</v>
      </c>
      <c r="N168" s="24">
        <f t="shared" si="20"/>
        <v>1572.6844848000001</v>
      </c>
      <c r="O168" s="25">
        <f>IF(O3&gt;0,N168/O3/12,0)</f>
        <v>4.0106680303123509E-4</v>
      </c>
    </row>
    <row r="169" spans="2:15" ht="41.4" x14ac:dyDescent="0.3">
      <c r="B169" s="18">
        <v>151</v>
      </c>
      <c r="C169" s="19" t="s">
        <v>438</v>
      </c>
      <c r="D169" s="20" t="s">
        <v>439</v>
      </c>
      <c r="E169" s="20" t="s">
        <v>435</v>
      </c>
      <c r="F169" s="21">
        <v>44</v>
      </c>
      <c r="G169" s="22">
        <v>0.3</v>
      </c>
      <c r="H169" s="23">
        <f>F169 * G169 * 371.63448</f>
        <v>4905.5751359999995</v>
      </c>
      <c r="I169" s="23">
        <f t="shared" si="22"/>
        <v>0</v>
      </c>
      <c r="J169" s="23">
        <f t="shared" si="19"/>
        <v>0</v>
      </c>
      <c r="K169" s="23">
        <f>F169 * G169 * 353.870352</f>
        <v>4671.0886464000005</v>
      </c>
      <c r="L169" s="23">
        <f>F169 * G169 * 84.382248</f>
        <v>1113.8456736000001</v>
      </c>
      <c r="M169" s="23">
        <f>F169 * G169 * 74.326896</f>
        <v>981.11502719999999</v>
      </c>
      <c r="N169" s="24">
        <f t="shared" si="20"/>
        <v>11671.624483199999</v>
      </c>
      <c r="O169" s="25">
        <f>IF(O3&gt;0,N169/O3/12,0)</f>
        <v>2.9765036553110118E-3</v>
      </c>
    </row>
    <row r="170" spans="2:15" ht="41.4" x14ac:dyDescent="0.3">
      <c r="B170" s="18">
        <v>152</v>
      </c>
      <c r="C170" s="19" t="s">
        <v>440</v>
      </c>
      <c r="D170" s="20" t="s">
        <v>441</v>
      </c>
      <c r="E170" s="20" t="s">
        <v>435</v>
      </c>
      <c r="F170" s="21">
        <v>44</v>
      </c>
      <c r="G170" s="22">
        <v>12</v>
      </c>
      <c r="H170" s="23">
        <f>F170 * G170 * 542.70432</f>
        <v>286547.88096000004</v>
      </c>
      <c r="I170" s="23">
        <f t="shared" si="22"/>
        <v>0</v>
      </c>
      <c r="J170" s="23">
        <f t="shared" si="19"/>
        <v>0</v>
      </c>
      <c r="K170" s="23">
        <f>F170 * G170 * 516.763054</f>
        <v>272850.89251199999</v>
      </c>
      <c r="L170" s="23">
        <f>F170 * G170 * 123.224869</f>
        <v>65062.730832000001</v>
      </c>
      <c r="M170" s="23">
        <f>F170 * G170 * 108.540864</f>
        <v>57309.576192</v>
      </c>
      <c r="N170" s="24">
        <f t="shared" si="20"/>
        <v>681771.08049600001</v>
      </c>
      <c r="O170" s="25">
        <f>IF(O3&gt;0,N170/O3/12,0)</f>
        <v>0.17386561023297351</v>
      </c>
    </row>
    <row r="171" spans="2:15" ht="27.6" x14ac:dyDescent="0.3">
      <c r="B171" s="18">
        <v>153</v>
      </c>
      <c r="C171" s="19" t="s">
        <v>442</v>
      </c>
      <c r="D171" s="20" t="s">
        <v>443</v>
      </c>
      <c r="E171" s="20" t="s">
        <v>444</v>
      </c>
      <c r="F171" s="21">
        <v>45</v>
      </c>
      <c r="G171" s="22">
        <v>0.3</v>
      </c>
      <c r="H171" s="23">
        <f>F171 * G171 * 466.329174</f>
        <v>6295.4438490000002</v>
      </c>
      <c r="I171" s="23">
        <f t="shared" si="22"/>
        <v>0</v>
      </c>
      <c r="J171" s="23">
        <f t="shared" si="19"/>
        <v>0</v>
      </c>
      <c r="K171" s="23">
        <f>F171 * G171 * 444.038639</f>
        <v>5994.5216264999999</v>
      </c>
      <c r="L171" s="23">
        <f>F171 * G171 * 105.88335</f>
        <v>1429.425225</v>
      </c>
      <c r="M171" s="23">
        <f>F171 * G171 * 93.265835</f>
        <v>1259.0887725</v>
      </c>
      <c r="N171" s="24">
        <f t="shared" si="20"/>
        <v>14978.479472999999</v>
      </c>
      <c r="O171" s="25">
        <f>IF(O3&gt;0,N171/O3/12,0)</f>
        <v>3.8198195089773853E-3</v>
      </c>
    </row>
    <row r="172" spans="2:15" ht="27.6" x14ac:dyDescent="0.3">
      <c r="B172" s="18">
        <v>154</v>
      </c>
      <c r="C172" s="19" t="s">
        <v>445</v>
      </c>
      <c r="D172" s="20" t="s">
        <v>446</v>
      </c>
      <c r="E172" s="20" t="s">
        <v>444</v>
      </c>
      <c r="F172" s="21">
        <v>44</v>
      </c>
      <c r="G172" s="22">
        <v>0.3</v>
      </c>
      <c r="H172" s="23">
        <f>F172 * G172 * 466.329174</f>
        <v>6155.5450967999996</v>
      </c>
      <c r="I172" s="23">
        <f t="shared" si="22"/>
        <v>0</v>
      </c>
      <c r="J172" s="23">
        <f t="shared" si="19"/>
        <v>0</v>
      </c>
      <c r="K172" s="23">
        <f>F172 * G172 * 444.038639</f>
        <v>5861.3100347999998</v>
      </c>
      <c r="L172" s="23">
        <f>F172 * G172 * 105.88335</f>
        <v>1397.6602199999998</v>
      </c>
      <c r="M172" s="23">
        <f>F172 * G172 * 93.265835</f>
        <v>1231.1090219999999</v>
      </c>
      <c r="N172" s="24">
        <f t="shared" si="20"/>
        <v>14645.6243736</v>
      </c>
      <c r="O172" s="25">
        <f>IF(O3&gt;0,N172/O3/12,0)</f>
        <v>3.7349346310001103E-3</v>
      </c>
    </row>
    <row r="173" spans="2:15" s="15" customFormat="1" ht="14.4" x14ac:dyDescent="0.3">
      <c r="B173" s="16"/>
      <c r="C173" s="17" t="s">
        <v>447</v>
      </c>
      <c r="D173" s="31" t="s">
        <v>448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</row>
    <row r="174" spans="2:15" ht="82.8" x14ac:dyDescent="0.3">
      <c r="B174" s="18">
        <v>155</v>
      </c>
      <c r="C174" s="19" t="s">
        <v>449</v>
      </c>
      <c r="D174" s="20" t="s">
        <v>450</v>
      </c>
      <c r="E174" s="20" t="s">
        <v>451</v>
      </c>
      <c r="F174" s="21">
        <v>22.17</v>
      </c>
      <c r="G174" s="22">
        <v>3</v>
      </c>
      <c r="H174" s="23">
        <f>F174 * G174 * 3179.53944</f>
        <v>211471.16815440002</v>
      </c>
      <c r="I174" s="23">
        <f>F174 * G174 * 0</f>
        <v>0</v>
      </c>
      <c r="J174" s="23">
        <f>F174 * G174 * 0</f>
        <v>0</v>
      </c>
      <c r="K174" s="23">
        <f>F174 * G174 * 3027.557455</f>
        <v>201362.84633205002</v>
      </c>
      <c r="L174" s="23">
        <f>F174 * G174 * 721.937005</f>
        <v>48016.030202550006</v>
      </c>
      <c r="M174" s="23">
        <f>F174 * G174 * 635.907888</f>
        <v>42294.23363088</v>
      </c>
      <c r="N174" s="24">
        <f>SUM(H174:M174)</f>
        <v>503144.27831988002</v>
      </c>
      <c r="O174" s="25">
        <f>IF(O3&gt;0,N174/O3/12,0)</f>
        <v>0.12831211162795611</v>
      </c>
    </row>
    <row r="175" spans="2:15" ht="82.8" x14ac:dyDescent="0.3">
      <c r="B175" s="18">
        <v>156</v>
      </c>
      <c r="C175" s="19" t="s">
        <v>452</v>
      </c>
      <c r="D175" s="20" t="s">
        <v>453</v>
      </c>
      <c r="E175" s="20" t="s">
        <v>451</v>
      </c>
      <c r="F175" s="21">
        <v>136.6</v>
      </c>
      <c r="G175" s="22">
        <v>3</v>
      </c>
      <c r="H175" s="23">
        <f>F175 * G175 * 3438.11052</f>
        <v>1408937.6910959999</v>
      </c>
      <c r="I175" s="23">
        <f>F175 * G175 * 0</f>
        <v>0</v>
      </c>
      <c r="J175" s="23">
        <f>F175 * G175 * 0</f>
        <v>0</v>
      </c>
      <c r="K175" s="23">
        <f>F175 * G175 * 3273.768837</f>
        <v>1341590.4694025998</v>
      </c>
      <c r="L175" s="23">
        <f>F175 * G175 * 780.647404</f>
        <v>319909.30615919997</v>
      </c>
      <c r="M175" s="23">
        <f>F175 * G175 * 687.622104</f>
        <v>281787.53821919998</v>
      </c>
      <c r="N175" s="24">
        <f>SUM(H175:M175)</f>
        <v>3352225.0048769997</v>
      </c>
      <c r="O175" s="25">
        <f>IF(O3&gt;0,N175/O3/12,0)</f>
        <v>0.85488613815527137</v>
      </c>
    </row>
    <row r="176" spans="2:15" ht="82.8" x14ac:dyDescent="0.3">
      <c r="B176" s="18">
        <v>157</v>
      </c>
      <c r="C176" s="19" t="s">
        <v>454</v>
      </c>
      <c r="D176" s="20" t="s">
        <v>455</v>
      </c>
      <c r="E176" s="20" t="s">
        <v>451</v>
      </c>
      <c r="F176" s="21">
        <v>168</v>
      </c>
      <c r="G176" s="22">
        <v>3</v>
      </c>
      <c r="H176" s="23">
        <f>F176 * G176 * 3759.27612</f>
        <v>1894675.16448</v>
      </c>
      <c r="I176" s="23">
        <f>F176 * G176 * 0</f>
        <v>0</v>
      </c>
      <c r="J176" s="23">
        <f>F176 * G176 * 0</f>
        <v>0</v>
      </c>
      <c r="K176" s="23">
        <f>F176 * G176 * 3579.58272099999</f>
        <v>1804109.6913839951</v>
      </c>
      <c r="L176" s="23">
        <f>F176 * G176 * 853.570334</f>
        <v>430199.44833599997</v>
      </c>
      <c r="M176" s="23">
        <f>F176 * G176 * 751.855224</f>
        <v>378935.03289600002</v>
      </c>
      <c r="N176" s="24">
        <f>SUM(H176:M176)</f>
        <v>4507919.3370959954</v>
      </c>
      <c r="O176" s="25">
        <f>IF(O3&gt;0,N176/O3/12,0)</f>
        <v>1.1496118988429505</v>
      </c>
    </row>
    <row r="177" spans="2:15" s="15" customFormat="1" ht="14.4" x14ac:dyDescent="0.3">
      <c r="B177" s="16"/>
      <c r="C177" s="17" t="s">
        <v>456</v>
      </c>
      <c r="D177" s="31" t="s">
        <v>457</v>
      </c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2:15" ht="41.4" x14ac:dyDescent="0.3">
      <c r="B178" s="18">
        <v>158</v>
      </c>
      <c r="C178" s="19" t="s">
        <v>458</v>
      </c>
      <c r="D178" s="20" t="s">
        <v>459</v>
      </c>
      <c r="E178" s="20" t="s">
        <v>460</v>
      </c>
      <c r="F178" s="21">
        <v>198.63200000000001</v>
      </c>
      <c r="G178" s="22">
        <v>104</v>
      </c>
      <c r="H178" s="23">
        <f>F178 * G178 * 209.396694</f>
        <v>4325659.9487512317</v>
      </c>
      <c r="I178" s="23">
        <f>F178 * G178 * 2.96946</f>
        <v>61342.296986879999</v>
      </c>
      <c r="J178" s="23">
        <f t="shared" ref="J178:J195" si="23">F178 * G178 * 0</f>
        <v>0</v>
      </c>
      <c r="K178" s="23">
        <f>F178 * G178 * 199.387532</f>
        <v>4118893.4026472955</v>
      </c>
      <c r="L178" s="23">
        <f>F178 * G178 * 47.858284</f>
        <v>988643.41341875191</v>
      </c>
      <c r="M178" s="23">
        <f>F178 * G178 * 41.879339</f>
        <v>865131.99388179195</v>
      </c>
      <c r="N178" s="24">
        <f t="shared" ref="N178:N195" si="24">SUM(H178:M178)</f>
        <v>10359671.05568595</v>
      </c>
      <c r="O178" s="25">
        <f>IF(O3&gt;0,N178/O3/12,0)</f>
        <v>2.6419286200865457</v>
      </c>
    </row>
    <row r="179" spans="2:15" ht="41.4" x14ac:dyDescent="0.3">
      <c r="B179" s="18">
        <v>159</v>
      </c>
      <c r="C179" s="19" t="s">
        <v>461</v>
      </c>
      <c r="D179" s="20" t="s">
        <v>462</v>
      </c>
      <c r="E179" s="20" t="s">
        <v>463</v>
      </c>
      <c r="F179" s="21">
        <v>98.7</v>
      </c>
      <c r="G179" s="22">
        <v>104</v>
      </c>
      <c r="H179" s="23">
        <f>F179 * G179 * 159.7635</f>
        <v>1639940.3748000001</v>
      </c>
      <c r="I179" s="23">
        <f>F179 * G179 * 2.96946</f>
        <v>30480.913008000007</v>
      </c>
      <c r="J179" s="23">
        <f t="shared" si="23"/>
        <v>0</v>
      </c>
      <c r="K179" s="23">
        <f>F179 * G179 * 152.126805</f>
        <v>1561551.2279640001</v>
      </c>
      <c r="L179" s="23">
        <f>F179 * G179 * 36.588715</f>
        <v>375575.84173200006</v>
      </c>
      <c r="M179" s="23">
        <f>F179 * G179 * 31.9527</f>
        <v>327988.07496000006</v>
      </c>
      <c r="N179" s="24">
        <f t="shared" si="24"/>
        <v>3935536.4324639998</v>
      </c>
      <c r="O179" s="25">
        <f>IF(O3&gt;0,N179/O3/12,0)</f>
        <v>1.0036425172605534</v>
      </c>
    </row>
    <row r="180" spans="2:15" ht="27.6" x14ac:dyDescent="0.3">
      <c r="B180" s="18">
        <v>160</v>
      </c>
      <c r="C180" s="19" t="s">
        <v>464</v>
      </c>
      <c r="D180" s="20" t="s">
        <v>465</v>
      </c>
      <c r="E180" s="20" t="s">
        <v>463</v>
      </c>
      <c r="F180" s="21">
        <v>198.63200000000001</v>
      </c>
      <c r="G180" s="22">
        <v>24</v>
      </c>
      <c r="H180" s="23">
        <f>F180 * G180 * 479.2905</f>
        <v>2284858.3343039998</v>
      </c>
      <c r="I180" s="23">
        <f>F180 * G180 * 77.7709</f>
        <v>370746.94581119996</v>
      </c>
      <c r="J180" s="23">
        <f t="shared" si="23"/>
        <v>0</v>
      </c>
      <c r="K180" s="23">
        <f>F180 * G180 * 456.380414</f>
        <v>2175642.1054475517</v>
      </c>
      <c r="L180" s="23">
        <f>F180 * G180 * 117.031140999999</f>
        <v>557907.1103786832</v>
      </c>
      <c r="M180" s="23">
        <f>F180 * G180 * 95.8581</f>
        <v>456971.66686079995</v>
      </c>
      <c r="N180" s="24">
        <f t="shared" si="24"/>
        <v>5846126.1628022352</v>
      </c>
      <c r="O180" s="25">
        <f>IF(O3&gt;0,N180/O3/12,0)</f>
        <v>1.4908820891245267</v>
      </c>
    </row>
    <row r="181" spans="2:15" ht="27.6" x14ac:dyDescent="0.3">
      <c r="B181" s="18">
        <v>161</v>
      </c>
      <c r="C181" s="19" t="s">
        <v>466</v>
      </c>
      <c r="D181" s="20" t="s">
        <v>467</v>
      </c>
      <c r="E181" s="20" t="s">
        <v>460</v>
      </c>
      <c r="F181" s="21">
        <v>98.7</v>
      </c>
      <c r="G181" s="22">
        <v>24</v>
      </c>
      <c r="H181" s="23">
        <f>F181 * G181 * 386.840688</f>
        <v>916348.22173440002</v>
      </c>
      <c r="I181" s="23">
        <f>F181 * G181 * 77.7709</f>
        <v>184223.70792000002</v>
      </c>
      <c r="J181" s="23">
        <f t="shared" si="23"/>
        <v>0</v>
      </c>
      <c r="K181" s="23">
        <f>F181 * G181 * 368.349703</f>
        <v>872546.77646640001</v>
      </c>
      <c r="L181" s="23">
        <f>F181 * G181 * 96.039755</f>
        <v>227498.971644</v>
      </c>
      <c r="M181" s="23">
        <f>F181 * G181 * 77.368138</f>
        <v>183269.64529440002</v>
      </c>
      <c r="N181" s="24">
        <f t="shared" si="24"/>
        <v>2383887.3230592003</v>
      </c>
      <c r="O181" s="25">
        <f>IF(O3&gt;0,N181/O3/12,0)</f>
        <v>0.60794016643944349</v>
      </c>
    </row>
    <row r="182" spans="2:15" ht="27.6" x14ac:dyDescent="0.3">
      <c r="B182" s="18">
        <v>162</v>
      </c>
      <c r="C182" s="19" t="s">
        <v>468</v>
      </c>
      <c r="D182" s="20" t="s">
        <v>469</v>
      </c>
      <c r="E182" s="20" t="s">
        <v>28</v>
      </c>
      <c r="F182" s="21">
        <v>19.75</v>
      </c>
      <c r="G182" s="22">
        <v>2</v>
      </c>
      <c r="H182" s="23">
        <f>F182 * G182 * 191.7162</f>
        <v>7572.7898999999998</v>
      </c>
      <c r="I182" s="23">
        <f>F182 * G182 * 9.534435</f>
        <v>376.61018250000001</v>
      </c>
      <c r="J182" s="23">
        <f t="shared" si="23"/>
        <v>0</v>
      </c>
      <c r="K182" s="23">
        <f>F182 * G182 * 182.552166</f>
        <v>7210.8105569999998</v>
      </c>
      <c r="L182" s="23">
        <f>F182 * G182 * 44.536407</f>
        <v>1759.1880764999999</v>
      </c>
      <c r="M182" s="23">
        <f>F182 * G182 * 38.34324</f>
        <v>1514.55798</v>
      </c>
      <c r="N182" s="24">
        <f t="shared" si="24"/>
        <v>18433.956696000001</v>
      </c>
      <c r="O182" s="25">
        <f>IF(O3&gt;0,N182/O3/12,0)</f>
        <v>4.7010370806965492E-3</v>
      </c>
    </row>
    <row r="183" spans="2:15" ht="27.6" x14ac:dyDescent="0.3">
      <c r="B183" s="18">
        <v>163</v>
      </c>
      <c r="C183" s="19" t="s">
        <v>470</v>
      </c>
      <c r="D183" s="20" t="s">
        <v>471</v>
      </c>
      <c r="E183" s="20" t="s">
        <v>472</v>
      </c>
      <c r="F183" s="21">
        <v>5.92</v>
      </c>
      <c r="G183" s="22">
        <v>2</v>
      </c>
      <c r="H183" s="23">
        <f>F183 * G183 * 482.911806</f>
        <v>5717.6757830400002</v>
      </c>
      <c r="I183" s="23">
        <f>F183 * G183 * 64.780335</f>
        <v>766.99916639999992</v>
      </c>
      <c r="J183" s="23">
        <f t="shared" si="23"/>
        <v>0</v>
      </c>
      <c r="K183" s="23">
        <f>F183 * G183 * 459.828622</f>
        <v>5444.3708844800003</v>
      </c>
      <c r="L183" s="23">
        <f>F183 * G183 * 116.48288</f>
        <v>1379.1572991999999</v>
      </c>
      <c r="M183" s="23">
        <f>F183 * G183 * 96.582361</f>
        <v>1143.5351542400001</v>
      </c>
      <c r="N183" s="24">
        <f t="shared" si="24"/>
        <v>14451.738287360002</v>
      </c>
      <c r="O183" s="25">
        <f>IF(O3&gt;0,N183/O3/12,0)</f>
        <v>3.6854897019554882E-3</v>
      </c>
    </row>
    <row r="184" spans="2:15" ht="27.6" x14ac:dyDescent="0.3">
      <c r="B184" s="18">
        <v>164</v>
      </c>
      <c r="C184" s="19" t="s">
        <v>473</v>
      </c>
      <c r="D184" s="20" t="s">
        <v>474</v>
      </c>
      <c r="E184" s="20" t="s">
        <v>475</v>
      </c>
      <c r="F184" s="21">
        <v>44.4</v>
      </c>
      <c r="G184" s="22">
        <v>2</v>
      </c>
      <c r="H184" s="23">
        <f>F184 * G184 * 486.320094</f>
        <v>43185.224347199997</v>
      </c>
      <c r="I184" s="23">
        <f>F184 * G184 * 64.853655</f>
        <v>5759.0045639999998</v>
      </c>
      <c r="J184" s="23">
        <f t="shared" si="23"/>
        <v>0</v>
      </c>
      <c r="K184" s="23">
        <f>F184 * G184 * 463.073993</f>
        <v>41120.970578399996</v>
      </c>
      <c r="L184" s="23">
        <f>F184 * G184 * 117.264490999999</f>
        <v>10413.086800799911</v>
      </c>
      <c r="M184" s="23">
        <f>F184 * G184 * 97.264019</f>
        <v>8637.0448871999997</v>
      </c>
      <c r="N184" s="24">
        <f t="shared" si="24"/>
        <v>109115.3311775999</v>
      </c>
      <c r="O184" s="25">
        <f>IF(O3&gt;0,N184/O3/12,0)</f>
        <v>2.7826647658865767E-2</v>
      </c>
    </row>
    <row r="185" spans="2:15" ht="27.6" x14ac:dyDescent="0.3">
      <c r="B185" s="18">
        <v>165</v>
      </c>
      <c r="C185" s="19" t="s">
        <v>476</v>
      </c>
      <c r="D185" s="20" t="s">
        <v>477</v>
      </c>
      <c r="E185" s="20" t="s">
        <v>478</v>
      </c>
      <c r="F185" s="21"/>
      <c r="G185" s="22">
        <v>2</v>
      </c>
      <c r="H185" s="23">
        <f>F185 * G185 * 465.018294</f>
        <v>0</v>
      </c>
      <c r="I185" s="23">
        <f>F185 * G185 * 64.853655</f>
        <v>0</v>
      </c>
      <c r="J185" s="23">
        <f t="shared" si="23"/>
        <v>0</v>
      </c>
      <c r="K185" s="23">
        <f>F185 * G185 * 442.790419</f>
        <v>0</v>
      </c>
      <c r="L185" s="23">
        <f>F185 * G185 * 112.427765999999</f>
        <v>0</v>
      </c>
      <c r="M185" s="23">
        <f>F185 * G185 * 93.003659</f>
        <v>0</v>
      </c>
      <c r="N185" s="24">
        <f t="shared" si="24"/>
        <v>0</v>
      </c>
      <c r="O185" s="25">
        <f>IF(O3&gt;0,N185/O3/12,0)</f>
        <v>0</v>
      </c>
    </row>
    <row r="186" spans="2:15" ht="27.6" x14ac:dyDescent="0.3">
      <c r="B186" s="18">
        <v>166</v>
      </c>
      <c r="C186" s="19" t="s">
        <v>479</v>
      </c>
      <c r="D186" s="20" t="s">
        <v>480</v>
      </c>
      <c r="E186" s="20" t="s">
        <v>481</v>
      </c>
      <c r="F186" s="21">
        <v>60.47</v>
      </c>
      <c r="G186" s="22">
        <v>2</v>
      </c>
      <c r="H186" s="23">
        <f>F186 * G186 * 713.6103</f>
        <v>86304.029682000008</v>
      </c>
      <c r="I186" s="23">
        <f>F186 * G186 * 165.881593</f>
        <v>20061.719857420001</v>
      </c>
      <c r="J186" s="23">
        <f t="shared" si="23"/>
        <v>0</v>
      </c>
      <c r="K186" s="23">
        <f>F186 * G186 * 679.499728</f>
        <v>82178.697104320003</v>
      </c>
      <c r="L186" s="23">
        <f>F186 * G186 * 179.530793</f>
        <v>21712.454105419998</v>
      </c>
      <c r="M186" s="23">
        <f>F186 * G186 * 142.72206</f>
        <v>17260.8059364</v>
      </c>
      <c r="N186" s="24">
        <f t="shared" si="24"/>
        <v>227517.70668556</v>
      </c>
      <c r="O186" s="25">
        <f>IF(O3&gt;0,N186/O3/12,0)</f>
        <v>5.8021682120797509E-2</v>
      </c>
    </row>
    <row r="187" spans="2:15" x14ac:dyDescent="0.3">
      <c r="B187" s="18">
        <v>167</v>
      </c>
      <c r="C187" s="19" t="s">
        <v>482</v>
      </c>
      <c r="D187" s="20" t="s">
        <v>483</v>
      </c>
      <c r="E187" s="20" t="s">
        <v>484</v>
      </c>
      <c r="F187" s="21">
        <v>15</v>
      </c>
      <c r="G187" s="22">
        <v>1</v>
      </c>
      <c r="H187" s="23">
        <f>F187 * G187 * 77.0142</f>
        <v>1155.213</v>
      </c>
      <c r="I187" s="23">
        <f>F187 * G187 * 54.74466</f>
        <v>821.1699000000001</v>
      </c>
      <c r="J187" s="23">
        <f t="shared" si="23"/>
        <v>0</v>
      </c>
      <c r="K187" s="23">
        <f>F187 * G187 * 73.332921</f>
        <v>1099.993815</v>
      </c>
      <c r="L187" s="23">
        <f>F187 * G187 * 23.262182</f>
        <v>348.93272999999999</v>
      </c>
      <c r="M187" s="23">
        <f>F187 * G187 * 15.40284</f>
        <v>231.04259999999999</v>
      </c>
      <c r="N187" s="24">
        <f t="shared" si="24"/>
        <v>3656.3520450000005</v>
      </c>
      <c r="O187" s="25">
        <f>IF(O3&gt;0,N187/O3/12,0)</f>
        <v>9.324447717377702E-4</v>
      </c>
    </row>
    <row r="188" spans="2:15" ht="27.6" x14ac:dyDescent="0.3">
      <c r="B188" s="18">
        <v>168</v>
      </c>
      <c r="C188" s="19" t="s">
        <v>485</v>
      </c>
      <c r="D188" s="20" t="s">
        <v>486</v>
      </c>
      <c r="E188" s="20" t="s">
        <v>487</v>
      </c>
      <c r="F188" s="21"/>
      <c r="G188" s="22">
        <v>1</v>
      </c>
      <c r="H188" s="23">
        <f>F188 * G188 * 3511.84752</f>
        <v>0</v>
      </c>
      <c r="I188" s="23">
        <f>F188 * G188 * 0.593892</f>
        <v>0</v>
      </c>
      <c r="J188" s="23">
        <f t="shared" si="23"/>
        <v>0</v>
      </c>
      <c r="K188" s="23">
        <f>F188 * G188 * 3343.98120899999</f>
        <v>0</v>
      </c>
      <c r="L188" s="23">
        <f>F188 * G188 * 797.452569999999</f>
        <v>0</v>
      </c>
      <c r="M188" s="23">
        <f>F188 * G188 * 702.369504</f>
        <v>0</v>
      </c>
      <c r="N188" s="24">
        <f t="shared" si="24"/>
        <v>0</v>
      </c>
      <c r="O188" s="25">
        <f>IF(O3&gt;0,N188/O3/12,0)</f>
        <v>0</v>
      </c>
    </row>
    <row r="189" spans="2:15" ht="27.6" x14ac:dyDescent="0.3">
      <c r="B189" s="18">
        <v>169</v>
      </c>
      <c r="C189" s="19" t="s">
        <v>488</v>
      </c>
      <c r="D189" s="20" t="s">
        <v>489</v>
      </c>
      <c r="E189" s="20" t="s">
        <v>490</v>
      </c>
      <c r="F189" s="21">
        <v>8.6999999999999993</v>
      </c>
      <c r="G189" s="22">
        <v>2</v>
      </c>
      <c r="H189" s="23">
        <f>F189 * G189 * 227.290206</f>
        <v>3954.8495843999999</v>
      </c>
      <c r="I189" s="23">
        <f t="shared" ref="I189:I194" si="25">F189 * G189 * 46.32414</f>
        <v>806.04003599999999</v>
      </c>
      <c r="J189" s="23">
        <f t="shared" si="23"/>
        <v>0</v>
      </c>
      <c r="K189" s="23">
        <f>F189 * G189 * 216.425733999999</f>
        <v>3765.8077715999825</v>
      </c>
      <c r="L189" s="23">
        <f>F189 * G189 * 56.495052</f>
        <v>983.01390479999998</v>
      </c>
      <c r="M189" s="23">
        <f>F189 * G189 * 45.458041</f>
        <v>790.9699134</v>
      </c>
      <c r="N189" s="24">
        <f t="shared" si="24"/>
        <v>10300.681210199984</v>
      </c>
      <c r="O189" s="25">
        <f>IF(O3&gt;0,N189/O3/12,0)</f>
        <v>2.6268849994690435E-3</v>
      </c>
    </row>
    <row r="190" spans="2:15" ht="27.6" x14ac:dyDescent="0.3">
      <c r="B190" s="18">
        <v>170</v>
      </c>
      <c r="C190" s="19" t="s">
        <v>491</v>
      </c>
      <c r="D190" s="20" t="s">
        <v>492</v>
      </c>
      <c r="E190" s="20" t="s">
        <v>493</v>
      </c>
      <c r="F190" s="21"/>
      <c r="G190" s="22">
        <v>2</v>
      </c>
      <c r="H190" s="23">
        <f>F190 * G190 * 465.018294</f>
        <v>0</v>
      </c>
      <c r="I190" s="23">
        <f t="shared" si="25"/>
        <v>0</v>
      </c>
      <c r="J190" s="23">
        <f t="shared" si="23"/>
        <v>0</v>
      </c>
      <c r="K190" s="23">
        <f>F190 * G190 * 442.790419</f>
        <v>0</v>
      </c>
      <c r="L190" s="23">
        <f>F190 * G190 * 110.472901999999</f>
        <v>0</v>
      </c>
      <c r="M190" s="23">
        <f>F190 * G190 * 93.003659</f>
        <v>0</v>
      </c>
      <c r="N190" s="24">
        <f t="shared" si="24"/>
        <v>0</v>
      </c>
      <c r="O190" s="25">
        <f>IF(O3&gt;0,N190/O3/12,0)</f>
        <v>0</v>
      </c>
    </row>
    <row r="191" spans="2:15" ht="41.4" x14ac:dyDescent="0.3">
      <c r="B191" s="18">
        <v>171</v>
      </c>
      <c r="C191" s="19" t="s">
        <v>494</v>
      </c>
      <c r="D191" s="20" t="s">
        <v>495</v>
      </c>
      <c r="E191" s="20" t="s">
        <v>496</v>
      </c>
      <c r="F191" s="21">
        <v>4.4000000000000004</v>
      </c>
      <c r="G191" s="22">
        <v>2</v>
      </c>
      <c r="H191" s="23">
        <f>F191 * G191 * 287.5743</f>
        <v>2530.6538399999999</v>
      </c>
      <c r="I191" s="23">
        <f t="shared" si="25"/>
        <v>407.65243200000003</v>
      </c>
      <c r="J191" s="23">
        <f t="shared" si="23"/>
        <v>0</v>
      </c>
      <c r="K191" s="23">
        <f>F191 * G191 * 273.828248</f>
        <v>2409.6885824000001</v>
      </c>
      <c r="L191" s="23">
        <f>F191 * G191 * 70.1829839999999</f>
        <v>617.61025919999918</v>
      </c>
      <c r="M191" s="23">
        <f>F191 * G191 * 57.51486</f>
        <v>506.13076800000005</v>
      </c>
      <c r="N191" s="24">
        <f t="shared" si="24"/>
        <v>6471.7358815999987</v>
      </c>
      <c r="O191" s="25">
        <f>IF(O3&gt;0,N191/O3/12,0)</f>
        <v>1.6504254001246334E-3</v>
      </c>
    </row>
    <row r="192" spans="2:15" ht="27.6" x14ac:dyDescent="0.3">
      <c r="B192" s="18">
        <v>172</v>
      </c>
      <c r="C192" s="19" t="s">
        <v>497</v>
      </c>
      <c r="D192" s="20" t="s">
        <v>498</v>
      </c>
      <c r="E192" s="20" t="s">
        <v>499</v>
      </c>
      <c r="F192" s="21">
        <v>7.8</v>
      </c>
      <c r="G192" s="22">
        <v>2</v>
      </c>
      <c r="H192" s="23">
        <f>F192 * G192 * 387.053706</f>
        <v>6038.0378135999999</v>
      </c>
      <c r="I192" s="23">
        <f t="shared" si="25"/>
        <v>722.65658399999995</v>
      </c>
      <c r="J192" s="23">
        <f t="shared" si="23"/>
        <v>0</v>
      </c>
      <c r="K192" s="23">
        <f>F192 * G192 * 368.552539</f>
        <v>5749.4196084000005</v>
      </c>
      <c r="L192" s="23">
        <f>F192 * G192 * 92.770489</f>
        <v>1447.2196283999999</v>
      </c>
      <c r="M192" s="23">
        <f>F192 * G192 * 77.410741</f>
        <v>1207.6075596000001</v>
      </c>
      <c r="N192" s="24">
        <f t="shared" si="24"/>
        <v>15164.941193999999</v>
      </c>
      <c r="O192" s="25">
        <f>IF(O3&gt;0,N192/O3/12,0)</f>
        <v>3.8673710725948534E-3</v>
      </c>
    </row>
    <row r="193" spans="2:15" x14ac:dyDescent="0.3">
      <c r="B193" s="18">
        <v>173</v>
      </c>
      <c r="C193" s="19" t="s">
        <v>500</v>
      </c>
      <c r="D193" s="20" t="s">
        <v>501</v>
      </c>
      <c r="E193" s="20" t="s">
        <v>502</v>
      </c>
      <c r="F193" s="21">
        <v>5.32</v>
      </c>
      <c r="G193" s="22">
        <v>2</v>
      </c>
      <c r="H193" s="23">
        <f>F193 * G193 * 323.148306</f>
        <v>3438.2979758400002</v>
      </c>
      <c r="I193" s="23">
        <f t="shared" si="25"/>
        <v>492.88884960000001</v>
      </c>
      <c r="J193" s="23">
        <f t="shared" si="23"/>
        <v>0</v>
      </c>
      <c r="K193" s="23">
        <f>F193 * G193 * 307.701817</f>
        <v>3273.9473328800004</v>
      </c>
      <c r="L193" s="23">
        <f>F193 * G193 * 78.260314</f>
        <v>832.68974095999999</v>
      </c>
      <c r="M193" s="23">
        <f>F193 * G193 * 64.629661</f>
        <v>687.65959304</v>
      </c>
      <c r="N193" s="24">
        <f t="shared" si="24"/>
        <v>8725.4834923200015</v>
      </c>
      <c r="O193" s="25">
        <f>IF(O3&gt;0,N193/O3/12,0)</f>
        <v>2.2251772704501719E-3</v>
      </c>
    </row>
    <row r="194" spans="2:15" ht="41.4" x14ac:dyDescent="0.3">
      <c r="B194" s="18">
        <v>174</v>
      </c>
      <c r="C194" s="19" t="s">
        <v>503</v>
      </c>
      <c r="D194" s="20" t="s">
        <v>504</v>
      </c>
      <c r="E194" s="20" t="s">
        <v>505</v>
      </c>
      <c r="F194" s="21">
        <v>11.83</v>
      </c>
      <c r="G194" s="22">
        <v>2</v>
      </c>
      <c r="H194" s="23">
        <f>F194 * G194 * 607.1013</f>
        <v>14364.016758000002</v>
      </c>
      <c r="I194" s="23">
        <f t="shared" si="25"/>
        <v>1096.0291523999999</v>
      </c>
      <c r="J194" s="23">
        <f t="shared" si="23"/>
        <v>0</v>
      </c>
      <c r="K194" s="23">
        <f>F194 * G194 * 578.081858</f>
        <v>13677.416760280001</v>
      </c>
      <c r="L194" s="23">
        <f>F194 * G194 * 142.733858</f>
        <v>3377.0830802800001</v>
      </c>
      <c r="M194" s="23">
        <f>F194 * G194 * 121.42026</f>
        <v>2872.8033516</v>
      </c>
      <c r="N194" s="24">
        <f t="shared" si="24"/>
        <v>35387.349102560009</v>
      </c>
      <c r="O194" s="25">
        <f>IF(O3&gt;0,N194/O3/12,0)</f>
        <v>9.0244998977775815E-3</v>
      </c>
    </row>
    <row r="195" spans="2:15" x14ac:dyDescent="0.3">
      <c r="B195" s="18">
        <v>175</v>
      </c>
      <c r="C195" s="19" t="s">
        <v>506</v>
      </c>
      <c r="D195" s="20" t="s">
        <v>507</v>
      </c>
      <c r="E195" s="20" t="s">
        <v>508</v>
      </c>
      <c r="F195" s="21">
        <v>29.7</v>
      </c>
      <c r="G195" s="22">
        <v>2</v>
      </c>
      <c r="H195" s="23">
        <f>F195 * G195 * 223.6689</f>
        <v>13285.93266</v>
      </c>
      <c r="I195" s="23">
        <f>F195 * G195 * 11.31384</f>
        <v>672.04209600000002</v>
      </c>
      <c r="J195" s="23">
        <f t="shared" si="23"/>
        <v>0</v>
      </c>
      <c r="K195" s="23">
        <f>F195 * G195 * 212.977527</f>
        <v>12650.865103800001</v>
      </c>
      <c r="L195" s="23">
        <f>F195 * G195 * 51.979222</f>
        <v>3087.5657867999998</v>
      </c>
      <c r="M195" s="23">
        <f>F195 * G195 * 44.73378</f>
        <v>2657.1865320000002</v>
      </c>
      <c r="N195" s="24">
        <f t="shared" si="24"/>
        <v>32353.592178599996</v>
      </c>
      <c r="O195" s="25">
        <f>IF(O3&gt;0,N195/O3/12,0)</f>
        <v>8.2508296527752916E-3</v>
      </c>
    </row>
    <row r="196" spans="2:15" s="15" customFormat="1" ht="14.4" x14ac:dyDescent="0.3">
      <c r="B196" s="16"/>
      <c r="C196" s="17" t="s">
        <v>509</v>
      </c>
      <c r="D196" s="31" t="s">
        <v>510</v>
      </c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</row>
    <row r="197" spans="2:15" ht="27.6" x14ac:dyDescent="0.3">
      <c r="B197" s="18">
        <v>176</v>
      </c>
      <c r="C197" s="19" t="s">
        <v>511</v>
      </c>
      <c r="D197" s="20" t="s">
        <v>512</v>
      </c>
      <c r="E197" s="20" t="s">
        <v>513</v>
      </c>
      <c r="F197" s="21">
        <v>65.5</v>
      </c>
      <c r="G197" s="22">
        <v>123.5</v>
      </c>
      <c r="H197" s="23">
        <f>F197 * G197 * 273.6462</f>
        <v>2213592.5233500004</v>
      </c>
      <c r="I197" s="23">
        <f>F197 * G197 * 1.561904</f>
        <v>12634.631932</v>
      </c>
      <c r="J197" s="23">
        <f>F197 * G197 * 0</f>
        <v>0</v>
      </c>
      <c r="K197" s="23">
        <f>F197 * G197 * 260.565912</f>
        <v>2107782.8036460001</v>
      </c>
      <c r="L197" s="23">
        <f>F197 * G197 * 62.298093</f>
        <v>503944.84880025004</v>
      </c>
      <c r="M197" s="23">
        <f>F197 * G197 * 54.72924</f>
        <v>442718.50466999999</v>
      </c>
      <c r="N197" s="24">
        <f t="shared" ref="N197:N228" si="26">SUM(H197:M197)</f>
        <v>5280673.3123982502</v>
      </c>
      <c r="O197" s="25">
        <f>IF(O3&gt;0,N197/O3/12,0)</f>
        <v>1.3466800135217616</v>
      </c>
    </row>
    <row r="198" spans="2:15" ht="27.6" x14ac:dyDescent="0.3">
      <c r="B198" s="18">
        <v>177</v>
      </c>
      <c r="C198" s="19" t="s">
        <v>514</v>
      </c>
      <c r="D198" s="20" t="s">
        <v>515</v>
      </c>
      <c r="E198" s="20" t="s">
        <v>516</v>
      </c>
      <c r="F198" s="21">
        <v>3.04</v>
      </c>
      <c r="G198" s="22">
        <v>2</v>
      </c>
      <c r="H198" s="23">
        <f>F198 * G198 * 289486.5462</f>
        <v>1760078.200896</v>
      </c>
      <c r="I198" s="23">
        <f>F198 * G198 * 1640.855728</f>
        <v>9976.4028262400006</v>
      </c>
      <c r="J198" s="23">
        <f>F198 * G198 * 0</f>
        <v>0</v>
      </c>
      <c r="K198" s="23">
        <f>F198 * G198 * 275649.089292</f>
        <v>1675946.4628953598</v>
      </c>
      <c r="L198" s="23">
        <f>F198 * G198 * 65903.085948</f>
        <v>400690.76256384002</v>
      </c>
      <c r="M198" s="23">
        <f>F198 * G198 * 57897.30924</f>
        <v>352015.64017920004</v>
      </c>
      <c r="N198" s="24">
        <f t="shared" si="26"/>
        <v>4198707.4693606393</v>
      </c>
      <c r="O198" s="25">
        <f>IF(O3&gt;0,N198/O3/12,0)</f>
        <v>1.0707565299176904</v>
      </c>
    </row>
    <row r="199" spans="2:15" x14ac:dyDescent="0.3">
      <c r="B199" s="18">
        <v>178</v>
      </c>
      <c r="C199" s="19" t="s">
        <v>517</v>
      </c>
      <c r="D199" s="20" t="s">
        <v>518</v>
      </c>
      <c r="E199" s="20" t="s">
        <v>519</v>
      </c>
      <c r="F199" s="21">
        <v>3.04</v>
      </c>
      <c r="G199" s="22">
        <v>123.5</v>
      </c>
      <c r="H199" s="23">
        <f>F199 * G199 * 21028.1538</f>
        <v>7894810.0626720004</v>
      </c>
      <c r="I199" s="23">
        <f>F199 * G199 * 120.9216</f>
        <v>45398.805503999996</v>
      </c>
      <c r="J199" s="23">
        <f>F199 * G199 * 0</f>
        <v>0</v>
      </c>
      <c r="K199" s="23">
        <f>F199 * G199 * 20023.008048</f>
        <v>7517438.1415411197</v>
      </c>
      <c r="L199" s="23">
        <f>F199 * G199 * 4787.348849</f>
        <v>1797362.25186856</v>
      </c>
      <c r="M199" s="23">
        <f>F199 * G199 * 4205.63076</f>
        <v>1578962.0125344</v>
      </c>
      <c r="N199" s="24">
        <f t="shared" si="26"/>
        <v>18833971.274120077</v>
      </c>
      <c r="O199" s="25">
        <f>IF(O3&gt;0,N199/O3/12,0)</f>
        <v>4.8030490033441549</v>
      </c>
    </row>
    <row r="200" spans="2:15" x14ac:dyDescent="0.3">
      <c r="B200" s="18">
        <v>179</v>
      </c>
      <c r="C200" s="19" t="s">
        <v>520</v>
      </c>
      <c r="D200" s="20" t="s">
        <v>521</v>
      </c>
      <c r="E200" s="20" t="s">
        <v>522</v>
      </c>
      <c r="F200" s="21">
        <v>3040</v>
      </c>
      <c r="G200" s="22">
        <v>2</v>
      </c>
      <c r="H200" s="23">
        <f>F200 * G200 * 208.75764</f>
        <v>1269246.4512</v>
      </c>
      <c r="I200" s="23">
        <f>F200 * G200 * 30.2304</f>
        <v>183800.83199999999</v>
      </c>
      <c r="J200" s="23">
        <f>F200 * G200 * 26.2218</f>
        <v>159428.54400000002</v>
      </c>
      <c r="K200" s="23">
        <f>F200 * G200 * 198.779025</f>
        <v>1208576.4719999998</v>
      </c>
      <c r="L200" s="23">
        <f>F200 * G200 * 53.355611</f>
        <v>324402.11488000001</v>
      </c>
      <c r="M200" s="23">
        <f>F200 * G200 * 41.751528</f>
        <v>253849.29024</v>
      </c>
      <c r="N200" s="24">
        <f t="shared" si="26"/>
        <v>3399303.7043199996</v>
      </c>
      <c r="O200" s="25">
        <f>IF(O3&gt;0,N200/O3/12,0)</f>
        <v>0.86689217220657921</v>
      </c>
    </row>
    <row r="201" spans="2:15" x14ac:dyDescent="0.3">
      <c r="B201" s="18">
        <v>180</v>
      </c>
      <c r="C201" s="19" t="s">
        <v>523</v>
      </c>
      <c r="D201" s="20" t="s">
        <v>524</v>
      </c>
      <c r="E201" s="20" t="s">
        <v>525</v>
      </c>
      <c r="F201" s="21">
        <v>2.6</v>
      </c>
      <c r="G201" s="22">
        <v>247</v>
      </c>
      <c r="H201" s="23">
        <f>F201 * G201 * 394.9026</f>
        <v>253606.44972000003</v>
      </c>
      <c r="I201" s="23">
        <f>F201 * G201 * 503.84</f>
        <v>323566.04800000001</v>
      </c>
      <c r="J201" s="23">
        <f>F201 * G201 * 0</f>
        <v>0</v>
      </c>
      <c r="K201" s="23">
        <f>F201 * G201 * 376.026256</f>
        <v>241484.06160320001</v>
      </c>
      <c r="L201" s="23">
        <f>F201 * G201 * 142.820559</f>
        <v>91719.362989800007</v>
      </c>
      <c r="M201" s="23">
        <f>F201 * G201 * 78.98052</f>
        <v>50721.289944000004</v>
      </c>
      <c r="N201" s="24">
        <f t="shared" si="26"/>
        <v>961097.21225700015</v>
      </c>
      <c r="O201" s="25">
        <f>IF(O3&gt;0,N201/O3/12,0)</f>
        <v>0.24509950345899625</v>
      </c>
    </row>
    <row r="202" spans="2:15" x14ac:dyDescent="0.3">
      <c r="B202" s="18">
        <v>181</v>
      </c>
      <c r="C202" s="19" t="s">
        <v>526</v>
      </c>
      <c r="D202" s="20" t="s">
        <v>527</v>
      </c>
      <c r="E202" s="20" t="s">
        <v>528</v>
      </c>
      <c r="F202" s="21">
        <v>0.6</v>
      </c>
      <c r="G202" s="22">
        <v>1</v>
      </c>
      <c r="H202" s="23">
        <f>F202 * G202 * 40014.612</f>
        <v>24008.767199999998</v>
      </c>
      <c r="I202" s="23">
        <f>F202 * G202 * 0</f>
        <v>0</v>
      </c>
      <c r="J202" s="23">
        <f>F202 * G202 * 427690.9296</f>
        <v>256614.55775999997</v>
      </c>
      <c r="K202" s="23">
        <f>F202 * G202 * 136720.938657</f>
        <v>82032.563194199989</v>
      </c>
      <c r="L202" s="23">
        <f>F202 * G202 * 66796.621692</f>
        <v>40077.973015199997</v>
      </c>
      <c r="M202" s="23">
        <f>F202 * G202 * 28716.85332</f>
        <v>17230.111991999998</v>
      </c>
      <c r="N202" s="24">
        <f t="shared" si="26"/>
        <v>419963.97316139995</v>
      </c>
      <c r="O202" s="25">
        <f>IF(O3&gt;0,N202/O3/12,0)</f>
        <v>0.1070994275915159</v>
      </c>
    </row>
    <row r="203" spans="2:15" x14ac:dyDescent="0.3">
      <c r="B203" s="18">
        <v>182</v>
      </c>
      <c r="C203" s="19" t="s">
        <v>529</v>
      </c>
      <c r="D203" s="20" t="s">
        <v>530</v>
      </c>
      <c r="E203" s="20" t="s">
        <v>531</v>
      </c>
      <c r="F203" s="21">
        <v>2.5</v>
      </c>
      <c r="G203" s="22">
        <v>123.5</v>
      </c>
      <c r="H203" s="23">
        <f>F203 * G203 * 376.878</f>
        <v>116361.08249999999</v>
      </c>
      <c r="I203" s="23">
        <f>F203 * G203 * 1.461136</f>
        <v>451.12574000000001</v>
      </c>
      <c r="J203" s="23">
        <f t="shared" ref="J203:J208" si="27">F203 * G203 * 0</f>
        <v>0</v>
      </c>
      <c r="K203" s="23">
        <f>F203 * G203 * 358.863232</f>
        <v>110799.02287999999</v>
      </c>
      <c r="L203" s="23">
        <f>F203 * G203 * 85.726976</f>
        <v>26468.203839999998</v>
      </c>
      <c r="M203" s="23">
        <f>F203 * G203 * 75.3756</f>
        <v>23272.216500000002</v>
      </c>
      <c r="N203" s="24">
        <f t="shared" si="26"/>
        <v>277351.65145999996</v>
      </c>
      <c r="O203" s="25">
        <f>IF(O3&gt;0,N203/O3/12,0)</f>
        <v>7.0730360248096188E-2</v>
      </c>
    </row>
    <row r="204" spans="2:15" x14ac:dyDescent="0.3">
      <c r="B204" s="18">
        <v>183</v>
      </c>
      <c r="C204" s="19" t="s">
        <v>532</v>
      </c>
      <c r="D204" s="20" t="s">
        <v>533</v>
      </c>
      <c r="E204" s="20" t="s">
        <v>534</v>
      </c>
      <c r="F204" s="21">
        <v>15</v>
      </c>
      <c r="G204" s="22">
        <v>1</v>
      </c>
      <c r="H204" s="23">
        <f>F204 * G204 * 89.735963</f>
        <v>1346.0394449999999</v>
      </c>
      <c r="I204" s="23">
        <f>F204 * G204 * 26.25806</f>
        <v>393.87090000000001</v>
      </c>
      <c r="J204" s="23">
        <f t="shared" si="27"/>
        <v>0</v>
      </c>
      <c r="K204" s="23">
        <f>F204 * G204 * 85.446584</f>
        <v>1281.69876</v>
      </c>
      <c r="L204" s="23">
        <f>F204 * G204 * 23.1454129999999</f>
        <v>347.18119499999847</v>
      </c>
      <c r="M204" s="23">
        <f>F204 * G204 * 17.947193</f>
        <v>269.20789500000001</v>
      </c>
      <c r="N204" s="24">
        <f t="shared" si="26"/>
        <v>3637.9981949999978</v>
      </c>
      <c r="O204" s="25">
        <f>IF(O3&gt;0,N204/O3/12,0)</f>
        <v>9.2776416350772708E-4</v>
      </c>
    </row>
    <row r="205" spans="2:15" x14ac:dyDescent="0.3">
      <c r="B205" s="18">
        <v>184</v>
      </c>
      <c r="C205" s="19" t="s">
        <v>535</v>
      </c>
      <c r="D205" s="20" t="s">
        <v>536</v>
      </c>
      <c r="E205" s="20" t="s">
        <v>537</v>
      </c>
      <c r="F205" s="21">
        <v>10</v>
      </c>
      <c r="G205" s="22">
        <v>1</v>
      </c>
      <c r="H205" s="23">
        <f>F205 * G205 * 126.106656</f>
        <v>1261.06656</v>
      </c>
      <c r="I205" s="23">
        <f>F205 * G205 * 33.767111</f>
        <v>337.67111</v>
      </c>
      <c r="J205" s="23">
        <f t="shared" si="27"/>
        <v>0</v>
      </c>
      <c r="K205" s="23">
        <f>F205 * G205 * 120.078757</f>
        <v>1200.78757</v>
      </c>
      <c r="L205" s="23">
        <f>F205 * G205 * 32.195842</f>
        <v>321.95841999999999</v>
      </c>
      <c r="M205" s="23">
        <f>F205 * G205 * 25.221331</f>
        <v>252.21330999999998</v>
      </c>
      <c r="N205" s="24">
        <f t="shared" si="26"/>
        <v>3373.69697</v>
      </c>
      <c r="O205" s="25">
        <f>IF(O3&gt;0,N205/O3/12,0)</f>
        <v>8.6036192970145376E-4</v>
      </c>
    </row>
    <row r="206" spans="2:15" x14ac:dyDescent="0.3">
      <c r="B206" s="18">
        <v>185</v>
      </c>
      <c r="C206" s="19" t="s">
        <v>538</v>
      </c>
      <c r="D206" s="20" t="s">
        <v>539</v>
      </c>
      <c r="E206" s="20" t="s">
        <v>537</v>
      </c>
      <c r="F206" s="21">
        <v>10</v>
      </c>
      <c r="G206" s="22">
        <v>1</v>
      </c>
      <c r="H206" s="23">
        <f>F206 * G206 * 128.236836</f>
        <v>1282.3683600000002</v>
      </c>
      <c r="I206" s="23">
        <f>F206 * G206 * 34.595015</f>
        <v>345.95014999999995</v>
      </c>
      <c r="J206" s="23">
        <f t="shared" si="27"/>
        <v>0</v>
      </c>
      <c r="K206" s="23">
        <f>F206 * G206 * 122.107115</f>
        <v>1221.07115</v>
      </c>
      <c r="L206" s="23">
        <f>F206 * G206 * 32.766859</f>
        <v>327.66858999999999</v>
      </c>
      <c r="M206" s="23">
        <f>F206 * G206 * 25.647367</f>
        <v>256.47366999999997</v>
      </c>
      <c r="N206" s="24">
        <f t="shared" si="26"/>
        <v>3433.5319199999999</v>
      </c>
      <c r="O206" s="25">
        <f>IF(O3&gt;0,N206/O3/12,0)</f>
        <v>8.7562106930508851E-4</v>
      </c>
    </row>
    <row r="207" spans="2:15" x14ac:dyDescent="0.3">
      <c r="B207" s="18">
        <v>186</v>
      </c>
      <c r="C207" s="19" t="s">
        <v>540</v>
      </c>
      <c r="D207" s="20" t="s">
        <v>541</v>
      </c>
      <c r="E207" s="20" t="s">
        <v>542</v>
      </c>
      <c r="F207" s="21">
        <v>15</v>
      </c>
      <c r="G207" s="22">
        <v>1</v>
      </c>
      <c r="H207" s="23">
        <f>F207 * G207 * 128.449854</f>
        <v>1926.7478099999998</v>
      </c>
      <c r="I207" s="23">
        <f>F207 * G207 * 38.609887</f>
        <v>579.14830500000005</v>
      </c>
      <c r="J207" s="23">
        <f t="shared" si="27"/>
        <v>0</v>
      </c>
      <c r="K207" s="23">
        <f>F207 * G207 * 122.309951</f>
        <v>1834.649265</v>
      </c>
      <c r="L207" s="23">
        <f>F207 * G207 * 33.238794</f>
        <v>498.58190999999999</v>
      </c>
      <c r="M207" s="23">
        <f>F207 * G207 * 25.689971</f>
        <v>385.34956499999998</v>
      </c>
      <c r="N207" s="24">
        <f t="shared" si="26"/>
        <v>5224.476854999999</v>
      </c>
      <c r="O207" s="25">
        <f>IF(O3&gt;0,N207/O3/12,0)</f>
        <v>1.3323487641654968E-3</v>
      </c>
    </row>
    <row r="208" spans="2:15" x14ac:dyDescent="0.3">
      <c r="B208" s="18">
        <v>187</v>
      </c>
      <c r="C208" s="19" t="s">
        <v>543</v>
      </c>
      <c r="D208" s="20" t="s">
        <v>544</v>
      </c>
      <c r="E208" s="20" t="s">
        <v>545</v>
      </c>
      <c r="F208" s="21">
        <v>25</v>
      </c>
      <c r="G208" s="22">
        <v>1</v>
      </c>
      <c r="H208" s="23">
        <f>F208 * G208 * 276.9234</f>
        <v>6923.085</v>
      </c>
      <c r="I208" s="23">
        <f>F208 * G208 * 23.166896</f>
        <v>579.17240000000004</v>
      </c>
      <c r="J208" s="23">
        <f t="shared" si="27"/>
        <v>0</v>
      </c>
      <c r="K208" s="23">
        <f>F208 * G208 * 263.686461</f>
        <v>6592.1615250000004</v>
      </c>
      <c r="L208" s="23">
        <f>F208 * G208 * 65.321531</f>
        <v>1633.0382749999999</v>
      </c>
      <c r="M208" s="23">
        <f>F208 * G208 * 55.38468</f>
        <v>1384.6170000000002</v>
      </c>
      <c r="N208" s="24">
        <f t="shared" si="26"/>
        <v>17112.074200000003</v>
      </c>
      <c r="O208" s="25">
        <f>IF(O3&gt;0,N208/O3/12,0)</f>
        <v>4.3639299293399374E-3</v>
      </c>
    </row>
    <row r="209" spans="2:15" x14ac:dyDescent="0.3">
      <c r="B209" s="18">
        <v>188</v>
      </c>
      <c r="C209" s="19" t="s">
        <v>546</v>
      </c>
      <c r="D209" s="20" t="s">
        <v>547</v>
      </c>
      <c r="E209" s="20" t="s">
        <v>537</v>
      </c>
      <c r="F209" s="21">
        <v>10</v>
      </c>
      <c r="G209" s="22">
        <v>1</v>
      </c>
      <c r="H209" s="23">
        <f>F209 * G209 * 958.581</f>
        <v>9585.81</v>
      </c>
      <c r="I209" s="23">
        <f>F209 * G209 * 555.692782</f>
        <v>5556.9278199999999</v>
      </c>
      <c r="J209" s="23">
        <f>F209 * G209 * 8.67416</f>
        <v>86.741600000000005</v>
      </c>
      <c r="K209" s="23">
        <f>F209 * G209 * 912.760828</f>
        <v>9127.6082800000004</v>
      </c>
      <c r="L209" s="23">
        <f>F209 * G209 * 277.193335</f>
        <v>2771.9333499999998</v>
      </c>
      <c r="M209" s="23">
        <f>F209 * G209 * 191.7162</f>
        <v>1917.1619999999998</v>
      </c>
      <c r="N209" s="24">
        <f t="shared" si="26"/>
        <v>29046.183049999996</v>
      </c>
      <c r="O209" s="25">
        <f>IF(O3&gt;0,N209/O3/12,0)</f>
        <v>7.4073724823482444E-3</v>
      </c>
    </row>
    <row r="210" spans="2:15" x14ac:dyDescent="0.3">
      <c r="B210" s="18">
        <v>189</v>
      </c>
      <c r="C210" s="19" t="s">
        <v>548</v>
      </c>
      <c r="D210" s="20" t="s">
        <v>549</v>
      </c>
      <c r="E210" s="20" t="s">
        <v>537</v>
      </c>
      <c r="F210" s="21">
        <v>10</v>
      </c>
      <c r="G210" s="22">
        <v>1</v>
      </c>
      <c r="H210" s="23">
        <f>F210 * G210 * 600.71076</f>
        <v>6007.1076000000003</v>
      </c>
      <c r="I210" s="23">
        <f>F210 * G210 * 314.224225</f>
        <v>3142.2422499999998</v>
      </c>
      <c r="J210" s="23">
        <f t="shared" ref="J210:J221" si="28">F210 * G210 * 0</f>
        <v>0</v>
      </c>
      <c r="K210" s="23">
        <f>F210 * G210 * 571.996786</f>
        <v>5719.9678600000007</v>
      </c>
      <c r="L210" s="23">
        <f>F210 * G210 * 169.546299</f>
        <v>1695.46299</v>
      </c>
      <c r="M210" s="23">
        <f>F210 * G210 * 120.142152</f>
        <v>1201.4215199999999</v>
      </c>
      <c r="N210" s="24">
        <f t="shared" si="26"/>
        <v>17766.202220000003</v>
      </c>
      <c r="O210" s="25">
        <f>IF(O3&gt;0,N210/O3/12,0)</f>
        <v>4.530745992123132E-3</v>
      </c>
    </row>
    <row r="211" spans="2:15" x14ac:dyDescent="0.3">
      <c r="B211" s="18">
        <v>190</v>
      </c>
      <c r="C211" s="19" t="s">
        <v>550</v>
      </c>
      <c r="D211" s="20" t="s">
        <v>551</v>
      </c>
      <c r="E211" s="20" t="s">
        <v>542</v>
      </c>
      <c r="F211" s="21">
        <v>5</v>
      </c>
      <c r="G211" s="22">
        <v>1</v>
      </c>
      <c r="H211" s="23">
        <f>F211 * G211 * 447.3378</f>
        <v>2236.6890000000003</v>
      </c>
      <c r="I211" s="23">
        <f>F211 * G211 * 261.403389</f>
        <v>1307.0169450000001</v>
      </c>
      <c r="J211" s="23">
        <f t="shared" si="28"/>
        <v>0</v>
      </c>
      <c r="K211" s="23">
        <f>F211 * G211 * 425.955053</f>
        <v>2129.7752650000002</v>
      </c>
      <c r="L211" s="23">
        <f>F211 * G211 * 129.149281</f>
        <v>645.74640499999998</v>
      </c>
      <c r="M211" s="23">
        <f>F211 * G211 * 89.46756</f>
        <v>447.33780000000002</v>
      </c>
      <c r="N211" s="24">
        <f t="shared" si="26"/>
        <v>6766.5654150000009</v>
      </c>
      <c r="O211" s="25">
        <f>IF(O3&gt;0,N211/O3/12,0)</f>
        <v>1.7256129787793356E-3</v>
      </c>
    </row>
    <row r="212" spans="2:15" x14ac:dyDescent="0.3">
      <c r="B212" s="18">
        <v>191</v>
      </c>
      <c r="C212" s="19" t="s">
        <v>552</v>
      </c>
      <c r="D212" s="20" t="s">
        <v>553</v>
      </c>
      <c r="E212" s="20" t="s">
        <v>542</v>
      </c>
      <c r="F212" s="21">
        <v>45</v>
      </c>
      <c r="G212" s="22">
        <v>1</v>
      </c>
      <c r="H212" s="23">
        <f>F212 * G212 * 21.940854</f>
        <v>987.33843000000002</v>
      </c>
      <c r="I212" s="23">
        <f>F212 * G212 * 779.131483</f>
        <v>35060.916734999999</v>
      </c>
      <c r="J212" s="23">
        <f t="shared" si="28"/>
        <v>0</v>
      </c>
      <c r="K212" s="23">
        <f>F212 * G212 * 20.8920809999999</f>
        <v>940.14364499999556</v>
      </c>
      <c r="L212" s="23">
        <f>F212 * G212 * 87.180198</f>
        <v>3923.1089100000004</v>
      </c>
      <c r="M212" s="23">
        <f>F212 * G212 * 4.388171</f>
        <v>197.46769499999999</v>
      </c>
      <c r="N212" s="24">
        <f t="shared" si="26"/>
        <v>41108.975415000001</v>
      </c>
      <c r="O212" s="25">
        <f>IF(O3&gt;0,N212/O3/12,0)</f>
        <v>1.0483631971278979E-2</v>
      </c>
    </row>
    <row r="213" spans="2:15" x14ac:dyDescent="0.3">
      <c r="B213" s="18">
        <v>192</v>
      </c>
      <c r="C213" s="19" t="s">
        <v>554</v>
      </c>
      <c r="D213" s="20" t="s">
        <v>555</v>
      </c>
      <c r="E213" s="20" t="s">
        <v>556</v>
      </c>
      <c r="F213" s="21">
        <v>45</v>
      </c>
      <c r="G213" s="22">
        <v>2</v>
      </c>
      <c r="H213" s="23">
        <f>F213 * G213 * 10.384628</f>
        <v>934.61651999999992</v>
      </c>
      <c r="I213" s="23">
        <f>F213 * G213 * 0</f>
        <v>0</v>
      </c>
      <c r="J213" s="23">
        <f t="shared" si="28"/>
        <v>0</v>
      </c>
      <c r="K213" s="23">
        <f>F213 * G213 * 9.888243</f>
        <v>889.94186999999988</v>
      </c>
      <c r="L213" s="23">
        <f>F213 * G213 * 2.357904</f>
        <v>212.21136000000001</v>
      </c>
      <c r="M213" s="23">
        <f>F213 * G213 * 2.076926</f>
        <v>186.92334</v>
      </c>
      <c r="N213" s="24">
        <f t="shared" si="26"/>
        <v>2223.6930899999998</v>
      </c>
      <c r="O213" s="25">
        <f>IF(O3&gt;0,N213/O3/12,0)</f>
        <v>5.6708735105399466E-4</v>
      </c>
    </row>
    <row r="214" spans="2:15" ht="41.4" x14ac:dyDescent="0.3">
      <c r="B214" s="18">
        <v>193</v>
      </c>
      <c r="C214" s="19" t="s">
        <v>557</v>
      </c>
      <c r="D214" s="20" t="s">
        <v>558</v>
      </c>
      <c r="E214" s="20" t="s">
        <v>559</v>
      </c>
      <c r="F214" s="21">
        <v>6.05</v>
      </c>
      <c r="G214" s="22">
        <v>100</v>
      </c>
      <c r="H214" s="23">
        <f>F214 * G214 * 4370.1462</f>
        <v>2643938.4509999999</v>
      </c>
      <c r="I214" s="23">
        <f>F214 * G214 * 0</f>
        <v>0</v>
      </c>
      <c r="J214" s="23">
        <f t="shared" si="28"/>
        <v>0</v>
      </c>
      <c r="K214" s="23">
        <f>F214 * G214 * 4161.253212</f>
        <v>2517558.1932599996</v>
      </c>
      <c r="L214" s="23">
        <f>F214 * G214 * 992.272722</f>
        <v>600324.99681000004</v>
      </c>
      <c r="M214" s="23">
        <f>F214 * G214 * 874.02924</f>
        <v>528787.69019999995</v>
      </c>
      <c r="N214" s="24">
        <f t="shared" si="26"/>
        <v>6290609.33127</v>
      </c>
      <c r="O214" s="25">
        <f>IF(O3&gt;0,N214/O3/12,0)</f>
        <v>1.6042344144647431</v>
      </c>
    </row>
    <row r="215" spans="2:15" ht="41.4" x14ac:dyDescent="0.3">
      <c r="B215" s="18">
        <v>194</v>
      </c>
      <c r="C215" s="19" t="s">
        <v>560</v>
      </c>
      <c r="D215" s="20" t="s">
        <v>561</v>
      </c>
      <c r="E215" s="20" t="s">
        <v>559</v>
      </c>
      <c r="F215" s="21"/>
      <c r="G215" s="22">
        <v>35</v>
      </c>
      <c r="H215" s="23">
        <f>F215 * G215 * 5461.4538</f>
        <v>0</v>
      </c>
      <c r="I215" s="23">
        <f>F215 * G215 * 0</f>
        <v>0</v>
      </c>
      <c r="J215" s="23">
        <f t="shared" si="28"/>
        <v>0</v>
      </c>
      <c r="K215" s="23">
        <f>F215 * G215 * 5200.396308</f>
        <v>0</v>
      </c>
      <c r="L215" s="23">
        <f>F215 * G215 * 1240.061861</f>
        <v>0</v>
      </c>
      <c r="M215" s="23">
        <f>F215 * G215 * 1092.29076</f>
        <v>0</v>
      </c>
      <c r="N215" s="24">
        <f t="shared" si="26"/>
        <v>0</v>
      </c>
      <c r="O215" s="25">
        <f>IF(O3&gt;0,N215/O3/12,0)</f>
        <v>0</v>
      </c>
    </row>
    <row r="216" spans="2:15" ht="41.4" x14ac:dyDescent="0.3">
      <c r="B216" s="18">
        <v>195</v>
      </c>
      <c r="C216" s="19" t="s">
        <v>562</v>
      </c>
      <c r="D216" s="20" t="s">
        <v>563</v>
      </c>
      <c r="E216" s="20" t="s">
        <v>559</v>
      </c>
      <c r="F216" s="21">
        <v>6.05</v>
      </c>
      <c r="G216" s="22">
        <v>24</v>
      </c>
      <c r="H216" s="23">
        <f>F216 * G216 * 19389.5538</f>
        <v>2815363.2117599999</v>
      </c>
      <c r="I216" s="23">
        <f>F216 * G216 * 0</f>
        <v>0</v>
      </c>
      <c r="J216" s="23">
        <f t="shared" si="28"/>
        <v>0</v>
      </c>
      <c r="K216" s="23">
        <f>F216 * G216 * 18462.733128</f>
        <v>2680788.8501855996</v>
      </c>
      <c r="L216" s="23">
        <f>F216 * G216 * 4402.535856</f>
        <v>639248.20629120001</v>
      </c>
      <c r="M216" s="23">
        <f>F216 * G216 * 3877.91076</f>
        <v>563072.642352</v>
      </c>
      <c r="N216" s="24">
        <f t="shared" si="26"/>
        <v>6698472.910588799</v>
      </c>
      <c r="O216" s="25">
        <f>IF(O3&gt;0,N216/O3/12,0)</f>
        <v>1.7082479934192465</v>
      </c>
    </row>
    <row r="217" spans="2:15" ht="41.4" x14ac:dyDescent="0.3">
      <c r="B217" s="18">
        <v>196</v>
      </c>
      <c r="C217" s="19" t="s">
        <v>564</v>
      </c>
      <c r="D217" s="20" t="s">
        <v>565</v>
      </c>
      <c r="E217" s="20" t="s">
        <v>559</v>
      </c>
      <c r="F217" s="21">
        <v>6.05</v>
      </c>
      <c r="G217" s="22">
        <v>4</v>
      </c>
      <c r="H217" s="23">
        <f>F217 * G217 * 122349.3462</f>
        <v>2960854.1780400001</v>
      </c>
      <c r="I217" s="23">
        <f>F217 * G217 * 0</f>
        <v>0</v>
      </c>
      <c r="J217" s="23">
        <f t="shared" si="28"/>
        <v>0</v>
      </c>
      <c r="K217" s="23">
        <f>F217 * G217 * 116501.047452</f>
        <v>2819325.3483384</v>
      </c>
      <c r="L217" s="23">
        <f>F217 * G217 * 27780.2877349999</f>
        <v>672282.96318699757</v>
      </c>
      <c r="M217" s="23">
        <f>F217 * G217 * 24469.86924</f>
        <v>592170.83560799994</v>
      </c>
      <c r="N217" s="24">
        <f t="shared" si="26"/>
        <v>7044633.3251733985</v>
      </c>
      <c r="O217" s="25">
        <f>IF(O3&gt;0,N217/O3/12,0)</f>
        <v>1.796525999691476</v>
      </c>
    </row>
    <row r="218" spans="2:15" x14ac:dyDescent="0.3">
      <c r="B218" s="18">
        <v>197</v>
      </c>
      <c r="C218" s="19" t="s">
        <v>566</v>
      </c>
      <c r="D218" s="20" t="s">
        <v>567</v>
      </c>
      <c r="E218" s="20" t="s">
        <v>70</v>
      </c>
      <c r="F218" s="21">
        <v>605</v>
      </c>
      <c r="G218" s="22">
        <v>10</v>
      </c>
      <c r="H218" s="23">
        <f>F218 * G218 * 40.965</f>
        <v>247838.25000000003</v>
      </c>
      <c r="I218" s="23">
        <f>F218 * G218 * 52.76205</f>
        <v>319210.40250000003</v>
      </c>
      <c r="J218" s="23">
        <f t="shared" si="28"/>
        <v>0</v>
      </c>
      <c r="K218" s="23">
        <f>F218 * G218 * 39.006873</f>
        <v>235991.58164999998</v>
      </c>
      <c r="L218" s="23">
        <f>F218 * G218 * 14.867791</f>
        <v>89950.135550000006</v>
      </c>
      <c r="M218" s="23">
        <f>F218 * G218 * 8.193</f>
        <v>49567.649999999994</v>
      </c>
      <c r="N218" s="24">
        <f t="shared" si="26"/>
        <v>942558.01970000006</v>
      </c>
      <c r="O218" s="25">
        <f>IF(O3&gt;0,N218/O3/12,0)</f>
        <v>0.24037162907511309</v>
      </c>
    </row>
    <row r="219" spans="2:15" x14ac:dyDescent="0.3">
      <c r="B219" s="18">
        <v>198</v>
      </c>
      <c r="C219" s="19" t="s">
        <v>568</v>
      </c>
      <c r="D219" s="20" t="s">
        <v>569</v>
      </c>
      <c r="E219" s="20" t="s">
        <v>570</v>
      </c>
      <c r="F219" s="21">
        <v>150</v>
      </c>
      <c r="G219" s="22">
        <v>2</v>
      </c>
      <c r="H219" s="23">
        <f>F219 * G219 * 16.71372</f>
        <v>5014.116</v>
      </c>
      <c r="I219" s="23">
        <f>F219 * G219 * 0</f>
        <v>0</v>
      </c>
      <c r="J219" s="23">
        <f t="shared" si="28"/>
        <v>0</v>
      </c>
      <c r="K219" s="23">
        <f>F219 * G219 * 15.914804</f>
        <v>4774.4412000000002</v>
      </c>
      <c r="L219" s="23">
        <f>F219 * G219 * 3.794968</f>
        <v>1138.4903999999999</v>
      </c>
      <c r="M219" s="23">
        <f>F219 * G219 * 3.342744</f>
        <v>1002.8232</v>
      </c>
      <c r="N219" s="24">
        <f t="shared" si="26"/>
        <v>11929.870800000001</v>
      </c>
      <c r="O219" s="25">
        <f>IF(O3&gt;0,N219/O3/12,0)</f>
        <v>3.0423617633260716E-3</v>
      </c>
    </row>
    <row r="220" spans="2:15" ht="27.6" x14ac:dyDescent="0.3">
      <c r="B220" s="18">
        <v>199</v>
      </c>
      <c r="C220" s="19" t="s">
        <v>571</v>
      </c>
      <c r="D220" s="20" t="s">
        <v>572</v>
      </c>
      <c r="E220" s="20" t="s">
        <v>573</v>
      </c>
      <c r="F220" s="21">
        <v>1437.6</v>
      </c>
      <c r="G220" s="22">
        <v>2</v>
      </c>
      <c r="H220" s="23">
        <f>F220 * G220 * 639.054</f>
        <v>1837408.0607999999</v>
      </c>
      <c r="I220" s="23">
        <f>F220 * G220 * 0</f>
        <v>0</v>
      </c>
      <c r="J220" s="23">
        <f t="shared" si="28"/>
        <v>0</v>
      </c>
      <c r="K220" s="23">
        <f>F220 * G220 * 608.507219</f>
        <v>1749579.9560687998</v>
      </c>
      <c r="L220" s="23">
        <f>F220 * G220 * 145.101748</f>
        <v>417196.54584959993</v>
      </c>
      <c r="M220" s="23">
        <f>F220 * G220 * 127.8108</f>
        <v>367481.61215999996</v>
      </c>
      <c r="N220" s="24">
        <f t="shared" si="26"/>
        <v>4371666.1748783998</v>
      </c>
      <c r="O220" s="25">
        <f>IF(O3&gt;0,N220/O3/12,0)</f>
        <v>1.1148645476090144</v>
      </c>
    </row>
    <row r="221" spans="2:15" x14ac:dyDescent="0.3">
      <c r="B221" s="18">
        <v>200</v>
      </c>
      <c r="C221" s="19" t="s">
        <v>574</v>
      </c>
      <c r="D221" s="20" t="s">
        <v>575</v>
      </c>
      <c r="E221" s="20" t="s">
        <v>576</v>
      </c>
      <c r="F221" s="21">
        <v>1437.6</v>
      </c>
      <c r="G221" s="22">
        <v>2</v>
      </c>
      <c r="H221" s="23">
        <f>F221 * G221 * 196.632</f>
        <v>565356.32640000002</v>
      </c>
      <c r="I221" s="23">
        <f>F221 * G221 * 0</f>
        <v>0</v>
      </c>
      <c r="J221" s="23">
        <f t="shared" si="28"/>
        <v>0</v>
      </c>
      <c r="K221" s="23">
        <f>F221 * G221 * 187.23299</f>
        <v>538332.29284799995</v>
      </c>
      <c r="L221" s="23">
        <f>F221 * G221 * 44.646692</f>
        <v>128368.1688384</v>
      </c>
      <c r="M221" s="23">
        <f>F221 * G221 * 39.3264</f>
        <v>113071.26527999999</v>
      </c>
      <c r="N221" s="24">
        <f t="shared" si="26"/>
        <v>1345128.0533663998</v>
      </c>
      <c r="O221" s="25">
        <f>IF(O3&gt;0,N221/O3/12,0)</f>
        <v>0.3430352453053529</v>
      </c>
    </row>
    <row r="222" spans="2:15" ht="27.6" x14ac:dyDescent="0.3">
      <c r="B222" s="18">
        <v>201</v>
      </c>
      <c r="C222" s="19" t="s">
        <v>577</v>
      </c>
      <c r="D222" s="20" t="s">
        <v>578</v>
      </c>
      <c r="E222" s="20" t="s">
        <v>579</v>
      </c>
      <c r="F222" s="21">
        <v>35.499000000000002</v>
      </c>
      <c r="G222" s="22">
        <v>2</v>
      </c>
      <c r="H222" s="23">
        <f>F222 * G222 * 0</f>
        <v>0</v>
      </c>
      <c r="I222" s="23">
        <f>F222 * G222 * 0</f>
        <v>0</v>
      </c>
      <c r="J222" s="23">
        <f>F222 * G222 * 100.65264</f>
        <v>7146.1361347200009</v>
      </c>
      <c r="K222" s="23">
        <f>F222 * G222 * 43.417674</f>
        <v>3082.5680186519999</v>
      </c>
      <c r="L222" s="23">
        <f>F222 * G222 * 16.16152</f>
        <v>1147.4355969600001</v>
      </c>
      <c r="M222" s="23">
        <f>F222 * G222 * 9.119444</f>
        <v>647.46228511200002</v>
      </c>
      <c r="N222" s="24">
        <f t="shared" si="26"/>
        <v>12023.602035444001</v>
      </c>
      <c r="O222" s="25">
        <f>IF(O3&gt;0,N222/O3/12,0)</f>
        <v>3.0662651510093768E-3</v>
      </c>
    </row>
    <row r="223" spans="2:15" ht="27.6" x14ac:dyDescent="0.3">
      <c r="B223" s="18">
        <v>202</v>
      </c>
      <c r="C223" s="19" t="s">
        <v>580</v>
      </c>
      <c r="D223" s="20" t="s">
        <v>581</v>
      </c>
      <c r="E223" s="20" t="s">
        <v>582</v>
      </c>
      <c r="F223" s="21">
        <v>63.75</v>
      </c>
      <c r="G223" s="22">
        <v>247</v>
      </c>
      <c r="H223" s="23">
        <f>F223 * G223 * 226.1268</f>
        <v>3560649.1244999999</v>
      </c>
      <c r="I223" s="23">
        <f>F223 * G223 * 0</f>
        <v>0</v>
      </c>
      <c r="J223" s="23">
        <f t="shared" ref="J223:J228" si="29">F223 * G223 * 0</f>
        <v>0</v>
      </c>
      <c r="K223" s="23">
        <f>F223 * G223 * 215.317939</f>
        <v>3390450.0969787501</v>
      </c>
      <c r="L223" s="23">
        <f>F223 * G223 * 51.343695</f>
        <v>808470.65739374992</v>
      </c>
      <c r="M223" s="23">
        <f>F223 * G223 * 45.22536</f>
        <v>712129.82490000001</v>
      </c>
      <c r="N223" s="24">
        <f t="shared" si="26"/>
        <v>8471699.7037725002</v>
      </c>
      <c r="O223" s="25">
        <f>IF(O3&gt;0,N223/O3/12,0)</f>
        <v>2.1604571986763061</v>
      </c>
    </row>
    <row r="224" spans="2:15" ht="27.6" x14ac:dyDescent="0.3">
      <c r="B224" s="18">
        <v>203</v>
      </c>
      <c r="C224" s="19" t="s">
        <v>583</v>
      </c>
      <c r="D224" s="20" t="s">
        <v>584</v>
      </c>
      <c r="E224" s="20" t="s">
        <v>582</v>
      </c>
      <c r="F224" s="21">
        <v>63.75</v>
      </c>
      <c r="G224" s="22">
        <v>247</v>
      </c>
      <c r="H224" s="23">
        <f>F224 * G224 * 41.7843</f>
        <v>657946.03387500008</v>
      </c>
      <c r="I224" s="23">
        <f>F224 * G224 * 0.236805</f>
        <v>3728.7907312499997</v>
      </c>
      <c r="J224" s="23">
        <f t="shared" si="29"/>
        <v>0</v>
      </c>
      <c r="K224" s="23">
        <f>F224 * G224 * 39.7870099999999</f>
        <v>626496.20621249848</v>
      </c>
      <c r="L224" s="23">
        <f>F224 * G224 * 9.512405</f>
        <v>149784.70723124998</v>
      </c>
      <c r="M224" s="23">
        <f>F224 * G224 * 8.35686</f>
        <v>131589.206775</v>
      </c>
      <c r="N224" s="24">
        <f t="shared" si="26"/>
        <v>1569544.9448249985</v>
      </c>
      <c r="O224" s="25">
        <f>IF(O3&gt;0,N224/O3/12,0)</f>
        <v>0.4002661559383614</v>
      </c>
    </row>
    <row r="225" spans="2:15" ht="27.6" x14ac:dyDescent="0.3">
      <c r="B225" s="18">
        <v>204</v>
      </c>
      <c r="C225" s="19" t="s">
        <v>585</v>
      </c>
      <c r="D225" s="20" t="s">
        <v>586</v>
      </c>
      <c r="E225" s="20" t="s">
        <v>587</v>
      </c>
      <c r="F225" s="21">
        <v>1400</v>
      </c>
      <c r="G225" s="22">
        <v>6</v>
      </c>
      <c r="H225" s="23">
        <f>F225 * G225 * 85.69878</f>
        <v>719869.75199999998</v>
      </c>
      <c r="I225" s="23">
        <f>F225 * G225 * 0.412656</f>
        <v>3466.3104000000003</v>
      </c>
      <c r="J225" s="23">
        <f t="shared" si="29"/>
        <v>0</v>
      </c>
      <c r="K225" s="23">
        <f>F225 * G225 * 81.602378</f>
        <v>685459.97519999999</v>
      </c>
      <c r="L225" s="23">
        <f>F225 * G225 * 19.502052</f>
        <v>163817.23679999998</v>
      </c>
      <c r="M225" s="23">
        <f>F225 * G225 * 17.139756</f>
        <v>143973.95039999997</v>
      </c>
      <c r="N225" s="24">
        <f t="shared" si="26"/>
        <v>1716587.2248</v>
      </c>
      <c r="O225" s="25">
        <f>IF(O3&gt;0,N225/O3/12,0)</f>
        <v>0.43776495351027062</v>
      </c>
    </row>
    <row r="226" spans="2:15" x14ac:dyDescent="0.3">
      <c r="B226" s="18">
        <v>205</v>
      </c>
      <c r="C226" s="19" t="s">
        <v>588</v>
      </c>
      <c r="D226" s="20" t="s">
        <v>589</v>
      </c>
      <c r="E226" s="20" t="s">
        <v>582</v>
      </c>
      <c r="F226" s="21">
        <v>4</v>
      </c>
      <c r="G226" s="22">
        <v>104</v>
      </c>
      <c r="H226" s="23">
        <f>F226 * G226 * 983.16</f>
        <v>408994.56</v>
      </c>
      <c r="I226" s="23">
        <f>F226 * G226 * 0</f>
        <v>0</v>
      </c>
      <c r="J226" s="23">
        <f t="shared" si="29"/>
        <v>0</v>
      </c>
      <c r="K226" s="23">
        <f>F226 * G226 * 936.164952</f>
        <v>389444.62003200001</v>
      </c>
      <c r="L226" s="23">
        <f>F226 * G226 * 223.233458999999</f>
        <v>92865.11894399958</v>
      </c>
      <c r="M226" s="23">
        <f>F226 * G226 * 196.632</f>
        <v>81798.911999999997</v>
      </c>
      <c r="N226" s="24">
        <f t="shared" si="26"/>
        <v>973103.21097599948</v>
      </c>
      <c r="O226" s="25">
        <f>IF(O3&gt;0,N226/O3/12,0)</f>
        <v>0.24816127940322741</v>
      </c>
    </row>
    <row r="227" spans="2:15" x14ac:dyDescent="0.3">
      <c r="B227" s="18">
        <v>206</v>
      </c>
      <c r="C227" s="19" t="s">
        <v>590</v>
      </c>
      <c r="D227" s="20" t="s">
        <v>591</v>
      </c>
      <c r="E227" s="20" t="s">
        <v>522</v>
      </c>
      <c r="F227" s="21">
        <v>4</v>
      </c>
      <c r="G227" s="22">
        <v>52</v>
      </c>
      <c r="H227" s="23">
        <f>F227 * G227 * 398.1798</f>
        <v>82821.398400000005</v>
      </c>
      <c r="I227" s="23">
        <f>F227 * G227 * 2.26728</f>
        <v>471.59424000000001</v>
      </c>
      <c r="J227" s="23">
        <f t="shared" si="29"/>
        <v>0</v>
      </c>
      <c r="K227" s="23">
        <f>F227 * G227 * 379.146805999999</f>
        <v>78862.535647999786</v>
      </c>
      <c r="L227" s="23">
        <f>F227 * G227 * 90.648748</f>
        <v>18854.939584</v>
      </c>
      <c r="M227" s="23">
        <f>F227 * G227 * 79.63596</f>
        <v>16564.27968</v>
      </c>
      <c r="N227" s="24">
        <f t="shared" si="26"/>
        <v>197574.74755199981</v>
      </c>
      <c r="O227" s="25">
        <f>IF(O3&gt;0,N227/O3/12,0)</f>
        <v>5.038561334218352E-2</v>
      </c>
    </row>
    <row r="228" spans="2:15" x14ac:dyDescent="0.3">
      <c r="B228" s="18">
        <v>207</v>
      </c>
      <c r="C228" s="19" t="s">
        <v>592</v>
      </c>
      <c r="D228" s="20" t="s">
        <v>593</v>
      </c>
      <c r="E228" s="20" t="s">
        <v>594</v>
      </c>
      <c r="F228" s="21">
        <v>6</v>
      </c>
      <c r="G228" s="22">
        <v>3</v>
      </c>
      <c r="H228" s="23">
        <f>F228 * G228 * 72.000084</f>
        <v>1296.001512</v>
      </c>
      <c r="I228" s="23">
        <f>F228 * G228 * 0</f>
        <v>0</v>
      </c>
      <c r="J228" s="23">
        <f t="shared" si="29"/>
        <v>0</v>
      </c>
      <c r="K228" s="23">
        <f>F228 * G228 * 68.55848</f>
        <v>1234.0526400000001</v>
      </c>
      <c r="L228" s="23">
        <f>F228 * G228 * 16.34813</f>
        <v>294.26634000000001</v>
      </c>
      <c r="M228" s="23">
        <f>F228 * G228 * 14.400017</f>
        <v>259.20030600000001</v>
      </c>
      <c r="N228" s="24">
        <f t="shared" si="26"/>
        <v>3083.5207980000005</v>
      </c>
      <c r="O228" s="25">
        <f>IF(O3&gt;0,N228/O3/12,0)</f>
        <v>7.8636105365498992E-4</v>
      </c>
    </row>
    <row r="229" spans="2:15" s="15" customFormat="1" ht="14.4" x14ac:dyDescent="0.3">
      <c r="B229" s="16"/>
      <c r="C229" s="17" t="s">
        <v>595</v>
      </c>
      <c r="D229" s="31" t="s">
        <v>596</v>
      </c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</row>
    <row r="230" spans="2:15" x14ac:dyDescent="0.3">
      <c r="B230" s="18">
        <v>208</v>
      </c>
      <c r="C230" s="19" t="s">
        <v>597</v>
      </c>
      <c r="D230" s="20" t="s">
        <v>598</v>
      </c>
      <c r="E230" s="20" t="s">
        <v>599</v>
      </c>
      <c r="F230" s="21">
        <v>1000</v>
      </c>
      <c r="G230" s="22">
        <v>1</v>
      </c>
      <c r="H230" s="23">
        <f>F230 * G230 * 70.29594</f>
        <v>70295.94</v>
      </c>
      <c r="I230" s="23">
        <f>F230 * G230 * 223.451216</f>
        <v>223451.21599999999</v>
      </c>
      <c r="J230" s="23">
        <f>F230 * G230 * 0</f>
        <v>0</v>
      </c>
      <c r="K230" s="23">
        <f>F230 * G230 * 66.935794</f>
        <v>66935.793999999994</v>
      </c>
      <c r="L230" s="23">
        <f>F230 * G230 * 39.535296</f>
        <v>39535.296000000002</v>
      </c>
      <c r="M230" s="23">
        <f>F230 * G230 * 14.059188</f>
        <v>14059.188</v>
      </c>
      <c r="N230" s="24">
        <f t="shared" ref="N230:N235" si="30">SUM(H230:M230)</f>
        <v>414277.43399999995</v>
      </c>
      <c r="O230" s="25">
        <f>IF(O3&gt;0,N230/O3/12,0)</f>
        <v>0.10564924346124856</v>
      </c>
    </row>
    <row r="231" spans="2:15" x14ac:dyDescent="0.3">
      <c r="B231" s="18">
        <v>209</v>
      </c>
      <c r="C231" s="19" t="s">
        <v>600</v>
      </c>
      <c r="D231" s="20" t="s">
        <v>601</v>
      </c>
      <c r="E231" s="20" t="s">
        <v>599</v>
      </c>
      <c r="F231" s="21">
        <v>5000</v>
      </c>
      <c r="G231" s="22">
        <v>1</v>
      </c>
      <c r="H231" s="23">
        <f>F231 * G231 * 50.272248</f>
        <v>251361.24</v>
      </c>
      <c r="I231" s="23">
        <f>F231 * G231 * 4.177956</f>
        <v>20889.78</v>
      </c>
      <c r="J231" s="23">
        <f>F231 * G231 * 0</f>
        <v>0</v>
      </c>
      <c r="K231" s="23">
        <f>F231 * G231 * 47.869234</f>
        <v>239346.16999999998</v>
      </c>
      <c r="L231" s="23">
        <f>F231 * G231 * 11.855445</f>
        <v>59277.224999999999</v>
      </c>
      <c r="M231" s="23">
        <f>F231 * G231 * 10.05445</f>
        <v>50272.249999999993</v>
      </c>
      <c r="N231" s="24">
        <f t="shared" si="30"/>
        <v>621146.66500000004</v>
      </c>
      <c r="O231" s="25">
        <f>IF(O3&gt;0,N231/O3/12,0)</f>
        <v>0.15840514073408982</v>
      </c>
    </row>
    <row r="232" spans="2:15" x14ac:dyDescent="0.3">
      <c r="B232" s="18">
        <v>210</v>
      </c>
      <c r="C232" s="19" t="s">
        <v>602</v>
      </c>
      <c r="D232" s="20" t="s">
        <v>603</v>
      </c>
      <c r="E232" s="20" t="s">
        <v>604</v>
      </c>
      <c r="F232" s="21">
        <v>17</v>
      </c>
      <c r="G232" s="22">
        <v>1</v>
      </c>
      <c r="H232" s="23">
        <f>F232 * G232 * 25800.953178</f>
        <v>438616.20402599999</v>
      </c>
      <c r="I232" s="23">
        <f>F232 * G232 * 66574.358088</f>
        <v>1131764.0874959999</v>
      </c>
      <c r="J232" s="23">
        <f>F232 * G232 * 9290.6462</f>
        <v>157940.98539999998</v>
      </c>
      <c r="K232" s="23">
        <f>F232 * G232 * 27283.441161</f>
        <v>463818.49973699998</v>
      </c>
      <c r="L232" s="23">
        <f>F232 * G232 * 14208.741064</f>
        <v>241548.598088</v>
      </c>
      <c r="M232" s="23">
        <f>F232 * G232 * 5730.61146</f>
        <v>97420.394820000001</v>
      </c>
      <c r="N232" s="24">
        <f t="shared" si="30"/>
        <v>2531108.7695669997</v>
      </c>
      <c r="O232" s="25">
        <f>IF(O3&gt;0,N232/O3/12,0)</f>
        <v>0.64548465515233755</v>
      </c>
    </row>
    <row r="233" spans="2:15" x14ac:dyDescent="0.3">
      <c r="B233" s="18">
        <v>211</v>
      </c>
      <c r="C233" s="19" t="s">
        <v>605</v>
      </c>
      <c r="D233" s="20" t="s">
        <v>606</v>
      </c>
      <c r="E233" s="20" t="s">
        <v>607</v>
      </c>
      <c r="F233" s="21">
        <v>10</v>
      </c>
      <c r="G233" s="22">
        <v>1</v>
      </c>
      <c r="H233" s="23">
        <f>F233 * G233 * 2719.813824</f>
        <v>27198.13824</v>
      </c>
      <c r="I233" s="23">
        <f>F233 * G233 * 7583.110716</f>
        <v>75831.10716</v>
      </c>
      <c r="J233" s="23">
        <f>F233 * G233 * 413.769664</f>
        <v>4137.6966400000001</v>
      </c>
      <c r="K233" s="23">
        <f>F233 * G233 * 2810.842158</f>
        <v>28108.421579999998</v>
      </c>
      <c r="L233" s="23">
        <f>F233 * G233 * 1489.441129</f>
        <v>14894.41129</v>
      </c>
      <c r="M233" s="23">
        <f>F233 * G233 * 590.389027</f>
        <v>5903.8902700000008</v>
      </c>
      <c r="N233" s="24">
        <f t="shared" si="30"/>
        <v>156073.66517999998</v>
      </c>
      <c r="O233" s="25">
        <f>IF(O3&gt;0,N233/O3/12,0)</f>
        <v>3.9801986053846251E-2</v>
      </c>
    </row>
    <row r="234" spans="2:15" x14ac:dyDescent="0.3">
      <c r="B234" s="18">
        <v>212</v>
      </c>
      <c r="C234" s="19" t="s">
        <v>608</v>
      </c>
      <c r="D234" s="20" t="s">
        <v>609</v>
      </c>
      <c r="E234" s="20" t="s">
        <v>534</v>
      </c>
      <c r="F234" s="21">
        <v>10</v>
      </c>
      <c r="G234" s="22">
        <v>1</v>
      </c>
      <c r="H234" s="23">
        <f>F234 * G234 * 919.385688</f>
        <v>9193.8568799999994</v>
      </c>
      <c r="I234" s="23">
        <f>F234 * G234 * 5940.8</f>
        <v>59408</v>
      </c>
      <c r="J234" s="23">
        <f>F234 * G234 * 0</f>
        <v>0</v>
      </c>
      <c r="K234" s="23">
        <f>F234 * G234 * 875.439052</f>
        <v>8754.390519999999</v>
      </c>
      <c r="L234" s="23">
        <f>F234 * G234 * 835.507448</f>
        <v>8355.0744799999993</v>
      </c>
      <c r="M234" s="23">
        <f>F234 * G234 * 183.877138</f>
        <v>1838.7713800000001</v>
      </c>
      <c r="N234" s="24">
        <f t="shared" si="30"/>
        <v>87550.093260000009</v>
      </c>
      <c r="O234" s="25">
        <f>IF(O3&gt;0,N234/O3/12,0)</f>
        <v>2.2327069636819172E-2</v>
      </c>
    </row>
    <row r="235" spans="2:15" ht="27.6" x14ac:dyDescent="0.3">
      <c r="B235" s="18">
        <v>213</v>
      </c>
      <c r="C235" s="19" t="s">
        <v>610</v>
      </c>
      <c r="D235" s="20" t="s">
        <v>611</v>
      </c>
      <c r="E235" s="20" t="s">
        <v>545</v>
      </c>
      <c r="F235" s="21">
        <v>300</v>
      </c>
      <c r="G235" s="22">
        <v>1</v>
      </c>
      <c r="H235" s="23">
        <f>F235 * G235 * 492.497616</f>
        <v>147749.28479999999</v>
      </c>
      <c r="I235" s="23">
        <f>F235 * G235 * 2011.22196</f>
        <v>603366.58799999999</v>
      </c>
      <c r="J235" s="23">
        <f>F235 * G235 * 0</f>
        <v>0</v>
      </c>
      <c r="K235" s="23">
        <f>F235 * G235 * 468.95623</f>
        <v>140686.86900000001</v>
      </c>
      <c r="L235" s="23">
        <f>F235 * G235 * 324.008998</f>
        <v>97202.699400000012</v>
      </c>
      <c r="M235" s="23">
        <f>F235 * G235 * 98.499523</f>
        <v>29549.856899999999</v>
      </c>
      <c r="N235" s="24">
        <f t="shared" si="30"/>
        <v>1018555.2981</v>
      </c>
      <c r="O235" s="25">
        <f>IF(O3&gt;0,N235/O3/12,0)</f>
        <v>0.2597524939475982</v>
      </c>
    </row>
    <row r="236" spans="2:15" s="15" customFormat="1" ht="14.4" x14ac:dyDescent="0.3">
      <c r="B236" s="16"/>
      <c r="C236" s="17" t="s">
        <v>612</v>
      </c>
      <c r="D236" s="31" t="s">
        <v>613</v>
      </c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</row>
    <row r="237" spans="2:15" ht="41.4" x14ac:dyDescent="0.3">
      <c r="B237" s="18">
        <v>214</v>
      </c>
      <c r="C237" s="19" t="s">
        <v>614</v>
      </c>
      <c r="D237" s="20" t="s">
        <v>615</v>
      </c>
      <c r="E237" s="20" t="s">
        <v>616</v>
      </c>
      <c r="F237" s="21">
        <v>69</v>
      </c>
      <c r="G237" s="22">
        <v>3</v>
      </c>
      <c r="H237" s="23">
        <f>F237 * G237 * 1550.77104</f>
        <v>321009.60528000002</v>
      </c>
      <c r="I237" s="23">
        <f>F237 * G237 * 59.5584</f>
        <v>12328.5888</v>
      </c>
      <c r="J237" s="23">
        <f>F237 * G237 * 0</f>
        <v>0</v>
      </c>
      <c r="K237" s="23">
        <f>F237 * G237 * 1476.644184</f>
        <v>305665.34608799999</v>
      </c>
      <c r="L237" s="23">
        <f>F237 * G237 * 358.396985999999</f>
        <v>74188.176101999794</v>
      </c>
      <c r="M237" s="23">
        <f>F237 * G237 * 310.154208</f>
        <v>64201.921055999999</v>
      </c>
      <c r="N237" s="24">
        <f>SUM(H237:M237)</f>
        <v>777393.63732599991</v>
      </c>
      <c r="O237" s="25">
        <f>IF(O3&gt;0,N237/O3/12,0)</f>
        <v>0.19825132366509768</v>
      </c>
    </row>
    <row r="238" spans="2:15" ht="41.4" x14ac:dyDescent="0.3">
      <c r="B238" s="18">
        <v>215</v>
      </c>
      <c r="C238" s="19" t="s">
        <v>617</v>
      </c>
      <c r="D238" s="20" t="s">
        <v>618</v>
      </c>
      <c r="E238" s="20" t="s">
        <v>616</v>
      </c>
      <c r="F238" s="21">
        <v>60</v>
      </c>
      <c r="G238" s="22">
        <v>3</v>
      </c>
      <c r="H238" s="23">
        <f>F238 * G238 * 1104.924366</f>
        <v>198886.38587999999</v>
      </c>
      <c r="I238" s="23">
        <f>F238 * G238 * 270.72</f>
        <v>48729.600000000006</v>
      </c>
      <c r="J238" s="23">
        <f>F238 * G238 * 0</f>
        <v>0</v>
      </c>
      <c r="K238" s="23">
        <f>F238 * G238 * 1052.10898099999</f>
        <v>189379.61657999823</v>
      </c>
      <c r="L238" s="23">
        <f>F238 * G238 * 279.441882</f>
        <v>50299.538760000003</v>
      </c>
      <c r="M238" s="23">
        <f>F238 * G238 * 220.984873</f>
        <v>39777.277139999998</v>
      </c>
      <c r="N238" s="24">
        <f>SUM(H238:M238)</f>
        <v>527072.41835999826</v>
      </c>
      <c r="O238" s="25">
        <f>IF(O3&gt;0,N238/O3/12,0)</f>
        <v>0.13441427815984908</v>
      </c>
    </row>
    <row r="239" spans="2:15" s="15" customFormat="1" ht="14.4" x14ac:dyDescent="0.3">
      <c r="B239" s="16"/>
      <c r="C239" s="17" t="s">
        <v>619</v>
      </c>
      <c r="D239" s="31" t="s">
        <v>620</v>
      </c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</row>
    <row r="240" spans="2:15" x14ac:dyDescent="0.3">
      <c r="B240" s="18">
        <v>216</v>
      </c>
      <c r="C240" s="19" t="s">
        <v>621</v>
      </c>
      <c r="D240" s="20" t="s">
        <v>622</v>
      </c>
      <c r="E240" s="20" t="s">
        <v>623</v>
      </c>
      <c r="F240" s="21"/>
      <c r="G240" s="22">
        <v>4</v>
      </c>
      <c r="H240" s="23">
        <f>F240 * G240 * 3195.732085</f>
        <v>0</v>
      </c>
      <c r="I240" s="23">
        <f>F240 * G240 * 0</f>
        <v>0</v>
      </c>
      <c r="J240" s="23">
        <f>F240 * G240 * 6164.220797</f>
        <v>0</v>
      </c>
      <c r="K240" s="23">
        <f>F240 * G240 * 5688.296604</f>
        <v>0</v>
      </c>
      <c r="L240" s="23">
        <f>F240 * G240 * 1713.638481</f>
        <v>0</v>
      </c>
      <c r="M240" s="23">
        <f>F240 * G240 * 1194.769293</f>
        <v>0</v>
      </c>
      <c r="N240" s="24">
        <f>SUM(H240:M240)</f>
        <v>0</v>
      </c>
      <c r="O240" s="25">
        <f>IF(O3&gt;0,N240/O3/12,0)</f>
        <v>0</v>
      </c>
    </row>
    <row r="241" spans="2:15" x14ac:dyDescent="0.3">
      <c r="B241" s="18">
        <v>217</v>
      </c>
      <c r="C241" s="19" t="s">
        <v>624</v>
      </c>
      <c r="D241" s="20" t="s">
        <v>625</v>
      </c>
      <c r="E241" s="20" t="s">
        <v>626</v>
      </c>
      <c r="F241" s="21"/>
      <c r="G241" s="22">
        <v>4</v>
      </c>
      <c r="H241" s="23">
        <f>F241 * G241 * 187.872044</f>
        <v>0</v>
      </c>
      <c r="I241" s="23">
        <f>F241 * G241 * 0</f>
        <v>0</v>
      </c>
      <c r="J241" s="23">
        <f>F241 * G241 * 362.38481</f>
        <v>0</v>
      </c>
      <c r="K241" s="23">
        <f>F241 * G241 * 334.405978</f>
        <v>0</v>
      </c>
      <c r="L241" s="23">
        <f>F241 * G241 * 100.742101</f>
        <v>0</v>
      </c>
      <c r="M241" s="23">
        <f>F241 * G241 * 70.238601</f>
        <v>0</v>
      </c>
      <c r="N241" s="24">
        <f>SUM(H241:M241)</f>
        <v>0</v>
      </c>
      <c r="O241" s="25">
        <f>IF(O3&gt;0,N241/O3/12,0)</f>
        <v>0</v>
      </c>
    </row>
    <row r="242" spans="2:15" s="26" customFormat="1" ht="19.95" customHeight="1" x14ac:dyDescent="0.3">
      <c r="B242" s="32" t="s">
        <v>627</v>
      </c>
      <c r="C242" s="32"/>
      <c r="D242" s="32"/>
      <c r="E242" s="32"/>
      <c r="F242" s="32"/>
      <c r="G242" s="32"/>
      <c r="H242" s="27">
        <f t="shared" ref="H242:O242" si="31">SUM(H4:H241)</f>
        <v>65496027.717956401</v>
      </c>
      <c r="I242" s="27">
        <f t="shared" si="31"/>
        <v>16520062.165606655</v>
      </c>
      <c r="J242" s="27">
        <f t="shared" si="31"/>
        <v>613649.90217651997</v>
      </c>
      <c r="K242" s="27">
        <f t="shared" si="31"/>
        <v>62494952.703984477</v>
      </c>
      <c r="L242" s="27">
        <f t="shared" si="31"/>
        <v>16695493.836006073</v>
      </c>
      <c r="M242" s="27">
        <f t="shared" si="31"/>
        <v>13126434.097892612</v>
      </c>
      <c r="N242" s="27">
        <f t="shared" si="31"/>
        <v>174946620.4236227</v>
      </c>
      <c r="O242" s="33">
        <f t="shared" si="31"/>
        <v>44.614976769065237</v>
      </c>
    </row>
  </sheetData>
  <mergeCells count="25">
    <mergeCell ref="D196:O196"/>
    <mergeCell ref="D229:O229"/>
    <mergeCell ref="D236:O236"/>
    <mergeCell ref="D239:O239"/>
    <mergeCell ref="B242:G242"/>
    <mergeCell ref="D114:O114"/>
    <mergeCell ref="D124:O124"/>
    <mergeCell ref="D132:O132"/>
    <mergeCell ref="D173:O173"/>
    <mergeCell ref="D177:O177"/>
    <mergeCell ref="D51:O51"/>
    <mergeCell ref="D75:O75"/>
    <mergeCell ref="D84:O84"/>
    <mergeCell ref="D94:O94"/>
    <mergeCell ref="D108:O108"/>
    <mergeCell ref="D26:O26"/>
    <mergeCell ref="D28:O28"/>
    <mergeCell ref="D32:O32"/>
    <mergeCell ref="D34:O34"/>
    <mergeCell ref="D37:O37"/>
    <mergeCell ref="B2:L3"/>
    <mergeCell ref="M2:N2"/>
    <mergeCell ref="M3:N3"/>
    <mergeCell ref="D4:O4"/>
    <mergeCell ref="D15:O15"/>
  </mergeCells>
  <pageMargins left="0.7" right="0.7" top="0.75" bottom="0.75" header="0.3" footer="0.3"/>
  <pageSetup paperSize="9" fitToHeight="0" orientation="landscape" horizontalDpi="4294967295" verticalDpi="4294967295" r:id="rId1"/>
  <headerFooter>
    <oddHeader>&amp;C&amp;KCCCCCC&amp;"Arial"1.11 МКД квартирного типа с газом, уборкой МОП и придомовой территории на 2025 год (ООО Квартал)</oddHeader>
    <oddFooter>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1.11 МКД квартирного типа с газом, уборкой МОП и придомовой территории на 2025 год (ООО Квартал)</dc:title>
  <dc:subject/>
  <dc:creator/>
  <cp:keywords/>
  <dc:description/>
  <cp:lastModifiedBy/>
  <cp:lastPrinted>2024-11-25T09:06:01Z</cp:lastPrinted>
  <dcterms:created xsi:type="dcterms:W3CDTF">2024-11-25T09:06:01Z</dcterms:created>
  <dcterms:modified xsi:type="dcterms:W3CDTF">2024-11-25T09:09:31Z</dcterms:modified>
  <cp:category/>
</cp:coreProperties>
</file>