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3040" windowHeight="9384"/>
  </bookViews>
  <sheets>
    <sheet name="Смета" sheetId="1" r:id="rId1"/>
  </sheets>
  <definedNames>
    <definedName name="_xlnm.Print_Titles" localSheetId="0">Смета!$1:$1</definedName>
  </definedNames>
  <calcPr calcId="152511"/>
</workbook>
</file>

<file path=xl/calcChain.xml><?xml version="1.0" encoding="utf-8"?>
<calcChain xmlns="http://schemas.openxmlformats.org/spreadsheetml/2006/main">
  <c r="M123" i="1" l="1"/>
  <c r="L123" i="1"/>
  <c r="K123" i="1"/>
  <c r="J123" i="1"/>
  <c r="I123" i="1"/>
  <c r="H123" i="1"/>
  <c r="N123" i="1" s="1"/>
  <c r="O123" i="1" s="1"/>
  <c r="M122" i="1"/>
  <c r="L122" i="1"/>
  <c r="K122" i="1"/>
  <c r="J122" i="1"/>
  <c r="I122" i="1"/>
  <c r="H122" i="1"/>
  <c r="N122" i="1" s="1"/>
  <c r="O122" i="1" s="1"/>
  <c r="M120" i="1"/>
  <c r="L120" i="1"/>
  <c r="K120" i="1"/>
  <c r="J120" i="1"/>
  <c r="I120" i="1"/>
  <c r="H120" i="1"/>
  <c r="N120" i="1" s="1"/>
  <c r="O120" i="1" s="1"/>
  <c r="M119" i="1"/>
  <c r="L119" i="1"/>
  <c r="K119" i="1"/>
  <c r="J119" i="1"/>
  <c r="I119" i="1"/>
  <c r="H119" i="1"/>
  <c r="N119" i="1" s="1"/>
  <c r="O119" i="1" s="1"/>
  <c r="M118" i="1"/>
  <c r="L118" i="1"/>
  <c r="K118" i="1"/>
  <c r="J118" i="1"/>
  <c r="I118" i="1"/>
  <c r="H118" i="1"/>
  <c r="N118" i="1" s="1"/>
  <c r="O118" i="1" s="1"/>
  <c r="M117" i="1"/>
  <c r="L117" i="1"/>
  <c r="K117" i="1"/>
  <c r="J117" i="1"/>
  <c r="I117" i="1"/>
  <c r="H117" i="1"/>
  <c r="N117" i="1" s="1"/>
  <c r="O117" i="1" s="1"/>
  <c r="M116" i="1"/>
  <c r="L116" i="1"/>
  <c r="K116" i="1"/>
  <c r="J116" i="1"/>
  <c r="I116" i="1"/>
  <c r="H116" i="1"/>
  <c r="N116" i="1" s="1"/>
  <c r="O116" i="1" s="1"/>
  <c r="M115" i="1"/>
  <c r="L115" i="1"/>
  <c r="K115" i="1"/>
  <c r="J115" i="1"/>
  <c r="I115" i="1"/>
  <c r="H115" i="1"/>
  <c r="N115" i="1" s="1"/>
  <c r="O115" i="1" s="1"/>
  <c r="M114" i="1"/>
  <c r="L114" i="1"/>
  <c r="K114" i="1"/>
  <c r="J114" i="1"/>
  <c r="I114" i="1"/>
  <c r="H114" i="1"/>
  <c r="N114" i="1" s="1"/>
  <c r="O114" i="1" s="1"/>
  <c r="M113" i="1"/>
  <c r="L113" i="1"/>
  <c r="K113" i="1"/>
  <c r="J113" i="1"/>
  <c r="I113" i="1"/>
  <c r="H113" i="1"/>
  <c r="N113" i="1" s="1"/>
  <c r="O113" i="1" s="1"/>
  <c r="M112" i="1"/>
  <c r="L112" i="1"/>
  <c r="K112" i="1"/>
  <c r="J112" i="1"/>
  <c r="I112" i="1"/>
  <c r="H112" i="1"/>
  <c r="N112" i="1" s="1"/>
  <c r="O112" i="1" s="1"/>
  <c r="M111" i="1"/>
  <c r="L111" i="1"/>
  <c r="K111" i="1"/>
  <c r="J111" i="1"/>
  <c r="I111" i="1"/>
  <c r="H111" i="1"/>
  <c r="N111" i="1" s="1"/>
  <c r="O111" i="1" s="1"/>
  <c r="M110" i="1"/>
  <c r="L110" i="1"/>
  <c r="K110" i="1"/>
  <c r="J110" i="1"/>
  <c r="I110" i="1"/>
  <c r="H110" i="1"/>
  <c r="N110" i="1" s="1"/>
  <c r="O110" i="1" s="1"/>
  <c r="M109" i="1"/>
  <c r="L109" i="1"/>
  <c r="K109" i="1"/>
  <c r="J109" i="1"/>
  <c r="I109" i="1"/>
  <c r="H109" i="1"/>
  <c r="N109" i="1" s="1"/>
  <c r="O109" i="1" s="1"/>
  <c r="M108" i="1"/>
  <c r="L108" i="1"/>
  <c r="K108" i="1"/>
  <c r="J108" i="1"/>
  <c r="I108" i="1"/>
  <c r="H108" i="1"/>
  <c r="N108" i="1" s="1"/>
  <c r="O108" i="1" s="1"/>
  <c r="M107" i="1"/>
  <c r="L107" i="1"/>
  <c r="K107" i="1"/>
  <c r="J107" i="1"/>
  <c r="I107" i="1"/>
  <c r="H107" i="1"/>
  <c r="N107" i="1" s="1"/>
  <c r="O107" i="1" s="1"/>
  <c r="M106" i="1"/>
  <c r="L106" i="1"/>
  <c r="K106" i="1"/>
  <c r="J106" i="1"/>
  <c r="I106" i="1"/>
  <c r="H106" i="1"/>
  <c r="N106" i="1" s="1"/>
  <c r="O106" i="1" s="1"/>
  <c r="M104" i="1"/>
  <c r="L104" i="1"/>
  <c r="K104" i="1"/>
  <c r="J104" i="1"/>
  <c r="I104" i="1"/>
  <c r="H104" i="1"/>
  <c r="N104" i="1" s="1"/>
  <c r="O104" i="1" s="1"/>
  <c r="M103" i="1"/>
  <c r="L103" i="1"/>
  <c r="K103" i="1"/>
  <c r="J103" i="1"/>
  <c r="I103" i="1"/>
  <c r="H103" i="1"/>
  <c r="N103" i="1" s="1"/>
  <c r="O103" i="1" s="1"/>
  <c r="M102" i="1"/>
  <c r="L102" i="1"/>
  <c r="K102" i="1"/>
  <c r="J102" i="1"/>
  <c r="I102" i="1"/>
  <c r="H102" i="1"/>
  <c r="N102" i="1" s="1"/>
  <c r="O102" i="1" s="1"/>
  <c r="M101" i="1"/>
  <c r="L101" i="1"/>
  <c r="K101" i="1"/>
  <c r="J101" i="1"/>
  <c r="I101" i="1"/>
  <c r="H101" i="1"/>
  <c r="N101" i="1" s="1"/>
  <c r="O101" i="1" s="1"/>
  <c r="M100" i="1"/>
  <c r="L100" i="1"/>
  <c r="K100" i="1"/>
  <c r="J100" i="1"/>
  <c r="I100" i="1"/>
  <c r="H100" i="1"/>
  <c r="N100" i="1" s="1"/>
  <c r="O100" i="1" s="1"/>
  <c r="M99" i="1"/>
  <c r="L99" i="1"/>
  <c r="K99" i="1"/>
  <c r="J99" i="1"/>
  <c r="I99" i="1"/>
  <c r="H99" i="1"/>
  <c r="N99" i="1" s="1"/>
  <c r="O99" i="1" s="1"/>
  <c r="M98" i="1"/>
  <c r="L98" i="1"/>
  <c r="K98" i="1"/>
  <c r="J98" i="1"/>
  <c r="I98" i="1"/>
  <c r="H98" i="1"/>
  <c r="N98" i="1" s="1"/>
  <c r="O98" i="1" s="1"/>
  <c r="M97" i="1"/>
  <c r="L97" i="1"/>
  <c r="K97" i="1"/>
  <c r="J97" i="1"/>
  <c r="I97" i="1"/>
  <c r="H97" i="1"/>
  <c r="N97" i="1" s="1"/>
  <c r="O97" i="1" s="1"/>
  <c r="M96" i="1"/>
  <c r="L96" i="1"/>
  <c r="K96" i="1"/>
  <c r="J96" i="1"/>
  <c r="I96" i="1"/>
  <c r="H96" i="1"/>
  <c r="N96" i="1" s="1"/>
  <c r="O96" i="1" s="1"/>
  <c r="M95" i="1"/>
  <c r="L95" i="1"/>
  <c r="K95" i="1"/>
  <c r="J95" i="1"/>
  <c r="I95" i="1"/>
  <c r="H95" i="1"/>
  <c r="N95" i="1" s="1"/>
  <c r="O95" i="1" s="1"/>
  <c r="M94" i="1"/>
  <c r="L94" i="1"/>
  <c r="K94" i="1"/>
  <c r="J94" i="1"/>
  <c r="I94" i="1"/>
  <c r="H94" i="1"/>
  <c r="N94" i="1" s="1"/>
  <c r="O94" i="1" s="1"/>
  <c r="M92" i="1"/>
  <c r="L92" i="1"/>
  <c r="K92" i="1"/>
  <c r="J92" i="1"/>
  <c r="I92" i="1"/>
  <c r="H92" i="1"/>
  <c r="N92" i="1" s="1"/>
  <c r="O92" i="1" s="1"/>
  <c r="M90" i="1"/>
  <c r="L90" i="1"/>
  <c r="K90" i="1"/>
  <c r="J90" i="1"/>
  <c r="I90" i="1"/>
  <c r="H90" i="1"/>
  <c r="N90" i="1" s="1"/>
  <c r="O90" i="1" s="1"/>
  <c r="M89" i="1"/>
  <c r="L89" i="1"/>
  <c r="K89" i="1"/>
  <c r="J89" i="1"/>
  <c r="I89" i="1"/>
  <c r="H89" i="1"/>
  <c r="N89" i="1" s="1"/>
  <c r="O89" i="1" s="1"/>
  <c r="M88" i="1"/>
  <c r="L88" i="1"/>
  <c r="K88" i="1"/>
  <c r="J88" i="1"/>
  <c r="I88" i="1"/>
  <c r="H88" i="1"/>
  <c r="N88" i="1" s="1"/>
  <c r="O88" i="1" s="1"/>
  <c r="M87" i="1"/>
  <c r="L87" i="1"/>
  <c r="K87" i="1"/>
  <c r="J87" i="1"/>
  <c r="I87" i="1"/>
  <c r="H87" i="1"/>
  <c r="N87" i="1" s="1"/>
  <c r="O87" i="1" s="1"/>
  <c r="M86" i="1"/>
  <c r="L86" i="1"/>
  <c r="K86" i="1"/>
  <c r="J86" i="1"/>
  <c r="I86" i="1"/>
  <c r="H86" i="1"/>
  <c r="N86" i="1" s="1"/>
  <c r="O86" i="1" s="1"/>
  <c r="M85" i="1"/>
  <c r="L85" i="1"/>
  <c r="K85" i="1"/>
  <c r="J85" i="1"/>
  <c r="I85" i="1"/>
  <c r="H85" i="1"/>
  <c r="N85" i="1" s="1"/>
  <c r="O85" i="1" s="1"/>
  <c r="M84" i="1"/>
  <c r="L84" i="1"/>
  <c r="K84" i="1"/>
  <c r="J84" i="1"/>
  <c r="I84" i="1"/>
  <c r="H84" i="1"/>
  <c r="N84" i="1" s="1"/>
  <c r="O84" i="1" s="1"/>
  <c r="M83" i="1"/>
  <c r="L83" i="1"/>
  <c r="K83" i="1"/>
  <c r="J83" i="1"/>
  <c r="I83" i="1"/>
  <c r="H83" i="1"/>
  <c r="N83" i="1" s="1"/>
  <c r="O83" i="1" s="1"/>
  <c r="M82" i="1"/>
  <c r="L82" i="1"/>
  <c r="K82" i="1"/>
  <c r="J82" i="1"/>
  <c r="I82" i="1"/>
  <c r="H82" i="1"/>
  <c r="N82" i="1" s="1"/>
  <c r="O82" i="1" s="1"/>
  <c r="M81" i="1"/>
  <c r="L81" i="1"/>
  <c r="K81" i="1"/>
  <c r="J81" i="1"/>
  <c r="I81" i="1"/>
  <c r="H81" i="1"/>
  <c r="N81" i="1" s="1"/>
  <c r="O81" i="1" s="1"/>
  <c r="M80" i="1"/>
  <c r="L80" i="1"/>
  <c r="K80" i="1"/>
  <c r="J80" i="1"/>
  <c r="I80" i="1"/>
  <c r="H80" i="1"/>
  <c r="N80" i="1" s="1"/>
  <c r="O80" i="1" s="1"/>
  <c r="M79" i="1"/>
  <c r="L79" i="1"/>
  <c r="K79" i="1"/>
  <c r="J79" i="1"/>
  <c r="I79" i="1"/>
  <c r="H79" i="1"/>
  <c r="N79" i="1" s="1"/>
  <c r="O79" i="1" s="1"/>
  <c r="M78" i="1"/>
  <c r="L78" i="1"/>
  <c r="K78" i="1"/>
  <c r="J78" i="1"/>
  <c r="I78" i="1"/>
  <c r="H78" i="1"/>
  <c r="N78" i="1" s="1"/>
  <c r="O78" i="1" s="1"/>
  <c r="M77" i="1"/>
  <c r="L77" i="1"/>
  <c r="K77" i="1"/>
  <c r="J77" i="1"/>
  <c r="I77" i="1"/>
  <c r="H77" i="1"/>
  <c r="N77" i="1" s="1"/>
  <c r="O77" i="1" s="1"/>
  <c r="M76" i="1"/>
  <c r="L76" i="1"/>
  <c r="K76" i="1"/>
  <c r="J76" i="1"/>
  <c r="I76" i="1"/>
  <c r="H76" i="1"/>
  <c r="N76" i="1" s="1"/>
  <c r="O76" i="1" s="1"/>
  <c r="M75" i="1"/>
  <c r="L75" i="1"/>
  <c r="K75" i="1"/>
  <c r="J75" i="1"/>
  <c r="I75" i="1"/>
  <c r="H75" i="1"/>
  <c r="N75" i="1" s="1"/>
  <c r="O75" i="1" s="1"/>
  <c r="M74" i="1"/>
  <c r="L74" i="1"/>
  <c r="K74" i="1"/>
  <c r="J74" i="1"/>
  <c r="I74" i="1"/>
  <c r="H74" i="1"/>
  <c r="N74" i="1" s="1"/>
  <c r="O74" i="1" s="1"/>
  <c r="M73" i="1"/>
  <c r="L73" i="1"/>
  <c r="K73" i="1"/>
  <c r="J73" i="1"/>
  <c r="I73" i="1"/>
  <c r="H73" i="1"/>
  <c r="N73" i="1" s="1"/>
  <c r="O73" i="1" s="1"/>
  <c r="M72" i="1"/>
  <c r="L72" i="1"/>
  <c r="K72" i="1"/>
  <c r="J72" i="1"/>
  <c r="I72" i="1"/>
  <c r="H72" i="1"/>
  <c r="N72" i="1" s="1"/>
  <c r="O72" i="1" s="1"/>
  <c r="M71" i="1"/>
  <c r="L71" i="1"/>
  <c r="K71" i="1"/>
  <c r="J71" i="1"/>
  <c r="I71" i="1"/>
  <c r="H71" i="1"/>
  <c r="N71" i="1" s="1"/>
  <c r="O71" i="1" s="1"/>
  <c r="M70" i="1"/>
  <c r="L70" i="1"/>
  <c r="K70" i="1"/>
  <c r="J70" i="1"/>
  <c r="I70" i="1"/>
  <c r="H70" i="1"/>
  <c r="N70" i="1" s="1"/>
  <c r="O70" i="1" s="1"/>
  <c r="M69" i="1"/>
  <c r="L69" i="1"/>
  <c r="K69" i="1"/>
  <c r="J69" i="1"/>
  <c r="I69" i="1"/>
  <c r="H69" i="1"/>
  <c r="N69" i="1" s="1"/>
  <c r="O69" i="1" s="1"/>
  <c r="M68" i="1"/>
  <c r="L68" i="1"/>
  <c r="K68" i="1"/>
  <c r="J68" i="1"/>
  <c r="I68" i="1"/>
  <c r="H68" i="1"/>
  <c r="N68" i="1" s="1"/>
  <c r="O68" i="1" s="1"/>
  <c r="M67" i="1"/>
  <c r="L67" i="1"/>
  <c r="K67" i="1"/>
  <c r="J67" i="1"/>
  <c r="I67" i="1"/>
  <c r="H67" i="1"/>
  <c r="N67" i="1" s="1"/>
  <c r="O67" i="1" s="1"/>
  <c r="M65" i="1"/>
  <c r="L65" i="1"/>
  <c r="K65" i="1"/>
  <c r="J65" i="1"/>
  <c r="I65" i="1"/>
  <c r="H65" i="1"/>
  <c r="N65" i="1" s="1"/>
  <c r="O65" i="1" s="1"/>
  <c r="M64" i="1"/>
  <c r="L64" i="1"/>
  <c r="K64" i="1"/>
  <c r="J64" i="1"/>
  <c r="I64" i="1"/>
  <c r="H64" i="1"/>
  <c r="N64" i="1" s="1"/>
  <c r="O64" i="1" s="1"/>
  <c r="M63" i="1"/>
  <c r="L63" i="1"/>
  <c r="K63" i="1"/>
  <c r="J63" i="1"/>
  <c r="I63" i="1"/>
  <c r="H63" i="1"/>
  <c r="N63" i="1" s="1"/>
  <c r="O63" i="1" s="1"/>
  <c r="M62" i="1"/>
  <c r="L62" i="1"/>
  <c r="K62" i="1"/>
  <c r="J62" i="1"/>
  <c r="I62" i="1"/>
  <c r="H62" i="1"/>
  <c r="N62" i="1" s="1"/>
  <c r="O62" i="1" s="1"/>
  <c r="M61" i="1"/>
  <c r="L61" i="1"/>
  <c r="K61" i="1"/>
  <c r="J61" i="1"/>
  <c r="I61" i="1"/>
  <c r="H61" i="1"/>
  <c r="N61" i="1" s="1"/>
  <c r="O61" i="1" s="1"/>
  <c r="M59" i="1"/>
  <c r="L59" i="1"/>
  <c r="K59" i="1"/>
  <c r="J59" i="1"/>
  <c r="I59" i="1"/>
  <c r="H59" i="1"/>
  <c r="N59" i="1" s="1"/>
  <c r="O59" i="1" s="1"/>
  <c r="M58" i="1"/>
  <c r="L58" i="1"/>
  <c r="K58" i="1"/>
  <c r="J58" i="1"/>
  <c r="I58" i="1"/>
  <c r="H58" i="1"/>
  <c r="N58" i="1" s="1"/>
  <c r="O58" i="1" s="1"/>
  <c r="M57" i="1"/>
  <c r="L57" i="1"/>
  <c r="K57" i="1"/>
  <c r="J57" i="1"/>
  <c r="I57" i="1"/>
  <c r="H57" i="1"/>
  <c r="N57" i="1" s="1"/>
  <c r="O57" i="1" s="1"/>
  <c r="M56" i="1"/>
  <c r="L56" i="1"/>
  <c r="K56" i="1"/>
  <c r="J56" i="1"/>
  <c r="I56" i="1"/>
  <c r="H56" i="1"/>
  <c r="N56" i="1" s="1"/>
  <c r="O56" i="1" s="1"/>
  <c r="M54" i="1"/>
  <c r="L54" i="1"/>
  <c r="K54" i="1"/>
  <c r="J54" i="1"/>
  <c r="I54" i="1"/>
  <c r="H54" i="1"/>
  <c r="N54" i="1" s="1"/>
  <c r="O54" i="1" s="1"/>
  <c r="M53" i="1"/>
  <c r="L53" i="1"/>
  <c r="K53" i="1"/>
  <c r="J53" i="1"/>
  <c r="I53" i="1"/>
  <c r="H53" i="1"/>
  <c r="N53" i="1" s="1"/>
  <c r="O53" i="1" s="1"/>
  <c r="M52" i="1"/>
  <c r="L52" i="1"/>
  <c r="K52" i="1"/>
  <c r="J52" i="1"/>
  <c r="I52" i="1"/>
  <c r="H52" i="1"/>
  <c r="N52" i="1" s="1"/>
  <c r="O52" i="1" s="1"/>
  <c r="M51" i="1"/>
  <c r="L51" i="1"/>
  <c r="K51" i="1"/>
  <c r="J51" i="1"/>
  <c r="I51" i="1"/>
  <c r="H51" i="1"/>
  <c r="N51" i="1" s="1"/>
  <c r="O51" i="1" s="1"/>
  <c r="M50" i="1"/>
  <c r="L50" i="1"/>
  <c r="K50" i="1"/>
  <c r="J50" i="1"/>
  <c r="I50" i="1"/>
  <c r="H50" i="1"/>
  <c r="N50" i="1" s="1"/>
  <c r="O50" i="1" s="1"/>
  <c r="M48" i="1"/>
  <c r="L48" i="1"/>
  <c r="K48" i="1"/>
  <c r="J48" i="1"/>
  <c r="I48" i="1"/>
  <c r="H48" i="1"/>
  <c r="N48" i="1" s="1"/>
  <c r="O48" i="1" s="1"/>
  <c r="M47" i="1"/>
  <c r="L47" i="1"/>
  <c r="K47" i="1"/>
  <c r="J47" i="1"/>
  <c r="I47" i="1"/>
  <c r="H47" i="1"/>
  <c r="N47" i="1" s="1"/>
  <c r="O47" i="1" s="1"/>
  <c r="M46" i="1"/>
  <c r="L46" i="1"/>
  <c r="K46" i="1"/>
  <c r="J46" i="1"/>
  <c r="I46" i="1"/>
  <c r="H46" i="1"/>
  <c r="N46" i="1" s="1"/>
  <c r="O46" i="1" s="1"/>
  <c r="M45" i="1"/>
  <c r="L45" i="1"/>
  <c r="K45" i="1"/>
  <c r="J45" i="1"/>
  <c r="I45" i="1"/>
  <c r="H45" i="1"/>
  <c r="N45" i="1" s="1"/>
  <c r="O45" i="1" s="1"/>
  <c r="M44" i="1"/>
  <c r="L44" i="1"/>
  <c r="K44" i="1"/>
  <c r="J44" i="1"/>
  <c r="I44" i="1"/>
  <c r="H44" i="1"/>
  <c r="N44" i="1" s="1"/>
  <c r="O44" i="1" s="1"/>
  <c r="M42" i="1"/>
  <c r="L42" i="1"/>
  <c r="K42" i="1"/>
  <c r="J42" i="1"/>
  <c r="I42" i="1"/>
  <c r="H42" i="1"/>
  <c r="N42" i="1" s="1"/>
  <c r="O42" i="1" s="1"/>
  <c r="M41" i="1"/>
  <c r="L41" i="1"/>
  <c r="K41" i="1"/>
  <c r="J41" i="1"/>
  <c r="I41" i="1"/>
  <c r="H41" i="1"/>
  <c r="N41" i="1" s="1"/>
  <c r="O41" i="1" s="1"/>
  <c r="M40" i="1"/>
  <c r="L40" i="1"/>
  <c r="K40" i="1"/>
  <c r="J40" i="1"/>
  <c r="I40" i="1"/>
  <c r="H40" i="1"/>
  <c r="N40" i="1" s="1"/>
  <c r="O40" i="1" s="1"/>
  <c r="M39" i="1"/>
  <c r="L39" i="1"/>
  <c r="K39" i="1"/>
  <c r="J39" i="1"/>
  <c r="I39" i="1"/>
  <c r="H39" i="1"/>
  <c r="N39" i="1" s="1"/>
  <c r="O39" i="1" s="1"/>
  <c r="M38" i="1"/>
  <c r="L38" i="1"/>
  <c r="K38" i="1"/>
  <c r="J38" i="1"/>
  <c r="I38" i="1"/>
  <c r="H38" i="1"/>
  <c r="N38" i="1" s="1"/>
  <c r="O38" i="1" s="1"/>
  <c r="M37" i="1"/>
  <c r="L37" i="1"/>
  <c r="K37" i="1"/>
  <c r="J37" i="1"/>
  <c r="I37" i="1"/>
  <c r="H37" i="1"/>
  <c r="N37" i="1" s="1"/>
  <c r="O37" i="1" s="1"/>
  <c r="M35" i="1"/>
  <c r="L35" i="1"/>
  <c r="K35" i="1"/>
  <c r="J35" i="1"/>
  <c r="I35" i="1"/>
  <c r="H35" i="1"/>
  <c r="N35" i="1" s="1"/>
  <c r="O35" i="1" s="1"/>
  <c r="M33" i="1"/>
  <c r="L33" i="1"/>
  <c r="L124" i="1" s="1"/>
  <c r="K33" i="1"/>
  <c r="J33" i="1"/>
  <c r="I33" i="1"/>
  <c r="H33" i="1"/>
  <c r="H124" i="1" s="1"/>
  <c r="M32" i="1"/>
  <c r="L32" i="1"/>
  <c r="K32" i="1"/>
  <c r="J32" i="1"/>
  <c r="I32" i="1"/>
  <c r="H32" i="1"/>
  <c r="N32" i="1" s="1"/>
  <c r="O32" i="1" s="1"/>
  <c r="M31" i="1"/>
  <c r="L31" i="1"/>
  <c r="K31" i="1"/>
  <c r="J31" i="1"/>
  <c r="I31" i="1"/>
  <c r="H31" i="1"/>
  <c r="N31" i="1" s="1"/>
  <c r="O31" i="1" s="1"/>
  <c r="M30" i="1"/>
  <c r="L30" i="1"/>
  <c r="K30" i="1"/>
  <c r="J30" i="1"/>
  <c r="I30" i="1"/>
  <c r="H30" i="1"/>
  <c r="N30" i="1" s="1"/>
  <c r="O30" i="1" s="1"/>
  <c r="M29" i="1"/>
  <c r="L29" i="1"/>
  <c r="K29" i="1"/>
  <c r="J29" i="1"/>
  <c r="I29" i="1"/>
  <c r="H29" i="1"/>
  <c r="N29" i="1" s="1"/>
  <c r="O29" i="1" s="1"/>
  <c r="M28" i="1"/>
  <c r="L28" i="1"/>
  <c r="K28" i="1"/>
  <c r="J28" i="1"/>
  <c r="I28" i="1"/>
  <c r="H28" i="1"/>
  <c r="N28" i="1" s="1"/>
  <c r="O28" i="1" s="1"/>
  <c r="M26" i="1"/>
  <c r="L26" i="1"/>
  <c r="K26" i="1"/>
  <c r="J26" i="1"/>
  <c r="I26" i="1"/>
  <c r="H26" i="1"/>
  <c r="N26" i="1" s="1"/>
  <c r="O26" i="1" s="1"/>
  <c r="M25" i="1"/>
  <c r="L25" i="1"/>
  <c r="K25" i="1"/>
  <c r="J25" i="1"/>
  <c r="I25" i="1"/>
  <c r="H25" i="1"/>
  <c r="N25" i="1" s="1"/>
  <c r="O25" i="1" s="1"/>
  <c r="M24" i="1"/>
  <c r="L24" i="1"/>
  <c r="K24" i="1"/>
  <c r="J24" i="1"/>
  <c r="I24" i="1"/>
  <c r="H24" i="1"/>
  <c r="N24" i="1" s="1"/>
  <c r="O24" i="1" s="1"/>
  <c r="M22" i="1"/>
  <c r="L22" i="1"/>
  <c r="K22" i="1"/>
  <c r="J22" i="1"/>
  <c r="I22" i="1"/>
  <c r="H22" i="1"/>
  <c r="N22" i="1" s="1"/>
  <c r="O22" i="1" s="1"/>
  <c r="M20" i="1"/>
  <c r="L20" i="1"/>
  <c r="K20" i="1"/>
  <c r="J20" i="1"/>
  <c r="I20" i="1"/>
  <c r="H20" i="1"/>
  <c r="N20" i="1" s="1"/>
  <c r="O20" i="1" s="1"/>
  <c r="M19" i="1"/>
  <c r="L19" i="1"/>
  <c r="K19" i="1"/>
  <c r="J19" i="1"/>
  <c r="I19" i="1"/>
  <c r="H19" i="1"/>
  <c r="N19" i="1" s="1"/>
  <c r="O19" i="1" s="1"/>
  <c r="M18" i="1"/>
  <c r="L18" i="1"/>
  <c r="K18" i="1"/>
  <c r="J18" i="1"/>
  <c r="I18" i="1"/>
  <c r="H18" i="1"/>
  <c r="N18" i="1" s="1"/>
  <c r="O18" i="1" s="1"/>
  <c r="M17" i="1"/>
  <c r="L17" i="1"/>
  <c r="K17" i="1"/>
  <c r="J17" i="1"/>
  <c r="I17" i="1"/>
  <c r="H17" i="1"/>
  <c r="N17" i="1" s="1"/>
  <c r="O17" i="1" s="1"/>
  <c r="M16" i="1"/>
  <c r="L16" i="1"/>
  <c r="K16" i="1"/>
  <c r="J16" i="1"/>
  <c r="I16" i="1"/>
  <c r="H16" i="1"/>
  <c r="N16" i="1" s="1"/>
  <c r="O16" i="1" s="1"/>
  <c r="M15" i="1"/>
  <c r="L15" i="1"/>
  <c r="K15" i="1"/>
  <c r="J15" i="1"/>
  <c r="I15" i="1"/>
  <c r="H15" i="1"/>
  <c r="N15" i="1" s="1"/>
  <c r="O15" i="1" s="1"/>
  <c r="M14" i="1"/>
  <c r="L14" i="1"/>
  <c r="K14" i="1"/>
  <c r="J14" i="1"/>
  <c r="I14" i="1"/>
  <c r="H14" i="1"/>
  <c r="N14" i="1" s="1"/>
  <c r="O14" i="1" s="1"/>
  <c r="M12" i="1"/>
  <c r="L12" i="1"/>
  <c r="K12" i="1"/>
  <c r="J12" i="1"/>
  <c r="I12" i="1"/>
  <c r="H12" i="1"/>
  <c r="N12" i="1" s="1"/>
  <c r="O12" i="1" s="1"/>
  <c r="M11" i="1"/>
  <c r="L11" i="1"/>
  <c r="K11" i="1"/>
  <c r="J11" i="1"/>
  <c r="I11" i="1"/>
  <c r="H11" i="1"/>
  <c r="N11" i="1" s="1"/>
  <c r="O11" i="1" s="1"/>
  <c r="M10" i="1"/>
  <c r="L10" i="1"/>
  <c r="K10" i="1"/>
  <c r="J10" i="1"/>
  <c r="I10" i="1"/>
  <c r="H10" i="1"/>
  <c r="N10" i="1" s="1"/>
  <c r="O10" i="1" s="1"/>
  <c r="M9" i="1"/>
  <c r="L9" i="1"/>
  <c r="K9" i="1"/>
  <c r="J9" i="1"/>
  <c r="I9" i="1"/>
  <c r="H9" i="1"/>
  <c r="N9" i="1" s="1"/>
  <c r="O9" i="1" s="1"/>
  <c r="M8" i="1"/>
  <c r="L8" i="1"/>
  <c r="K8" i="1"/>
  <c r="J8" i="1"/>
  <c r="I8" i="1"/>
  <c r="H8" i="1"/>
  <c r="N8" i="1" s="1"/>
  <c r="O8" i="1" s="1"/>
  <c r="M7" i="1"/>
  <c r="L7" i="1"/>
  <c r="K7" i="1"/>
  <c r="J7" i="1"/>
  <c r="I7" i="1"/>
  <c r="H7" i="1"/>
  <c r="N7" i="1" s="1"/>
  <c r="O7" i="1" s="1"/>
  <c r="M6" i="1"/>
  <c r="L6" i="1"/>
  <c r="K6" i="1"/>
  <c r="J6" i="1"/>
  <c r="I6" i="1"/>
  <c r="H6" i="1"/>
  <c r="N6" i="1" s="1"/>
  <c r="O6" i="1" s="1"/>
  <c r="M5" i="1"/>
  <c r="M124" i="1" s="1"/>
  <c r="L5" i="1"/>
  <c r="K5" i="1"/>
  <c r="K124" i="1" s="1"/>
  <c r="J5" i="1"/>
  <c r="J124" i="1" s="1"/>
  <c r="I5" i="1"/>
  <c r="I124" i="1" s="1"/>
  <c r="H5" i="1"/>
  <c r="N5" i="1" s="1"/>
  <c r="O5" i="1" l="1"/>
  <c r="N33" i="1"/>
  <c r="O33" i="1" s="1"/>
  <c r="O124" i="1" l="1"/>
  <c r="N124" i="1"/>
</calcChain>
</file>

<file path=xl/sharedStrings.xml><?xml version="1.0" encoding="utf-8"?>
<sst xmlns="http://schemas.openxmlformats.org/spreadsheetml/2006/main" count="365" uniqueCount="333">
  <si>
    <t/>
  </si>
  <si>
    <t>№ ПП</t>
  </si>
  <si>
    <t>КОД</t>
  </si>
  <si>
    <t>НАЗВАНИЕ РАБОТЫ</t>
  </si>
  <si>
    <t>ИЗМЕРИТЕЛЬ</t>
  </si>
  <si>
    <t>КОЛ-ВО ЕД. ИЗМ.</t>
  </si>
  <si>
    <t>ПЕРИОДИЧ- НОСТЬ В ГОД</t>
  </si>
  <si>
    <t>ТРУД. РЕСУРСЫ, РУБ.</t>
  </si>
  <si>
    <t>МАТЕР. РЕСУРСЫ, РУБ.</t>
  </si>
  <si>
    <t>МАШ. МЕХ., РУБ.</t>
  </si>
  <si>
    <t>НАКЛ. РАСХОДЫ, РУБ.</t>
  </si>
  <si>
    <t>ПРИБЫЛЬ, РУБ.</t>
  </si>
  <si>
    <t>РАСХОДЫ НА УПРАВ., РУБ.</t>
  </si>
  <si>
    <t>СТОИМОСТЬ, РУБ.</t>
  </si>
  <si>
    <t>НА КВ.М/МЕС</t>
  </si>
  <si>
    <t>Дата изменения:</t>
  </si>
  <si>
    <t>25.11.2024</t>
  </si>
  <si>
    <t>Общая площадь, кв.м:</t>
  </si>
  <si>
    <t>1.1</t>
  </si>
  <si>
    <t>Фундаменты</t>
  </si>
  <si>
    <t>1.1.2.3</t>
  </si>
  <si>
    <t>Осушение электрическими насосами</t>
  </si>
  <si>
    <t>100 м3 воды</t>
  </si>
  <si>
    <t>1.1.3.1</t>
  </si>
  <si>
    <t>Замена поврежденного участка трубопровода диаметром до 100 мм</t>
  </si>
  <si>
    <t>1 участок (6 м)</t>
  </si>
  <si>
    <t>1.1.7.2</t>
  </si>
  <si>
    <t>Замена неисправных участков сети электрической сети (открытая проводка) при числе и сечении жил в проводе 2х1,5 и 2х2,5 кв.м</t>
  </si>
  <si>
    <t>100 пог.м</t>
  </si>
  <si>
    <t>1.1.7.3</t>
  </si>
  <si>
    <t>Замена ламп накаливания</t>
  </si>
  <si>
    <t>100 шт.</t>
  </si>
  <si>
    <t>1.1.7.4</t>
  </si>
  <si>
    <t>Замена выключателей</t>
  </si>
  <si>
    <t>1.1.7.5</t>
  </si>
  <si>
    <t>Замена патронов</t>
  </si>
  <si>
    <t>1.1.10</t>
  </si>
  <si>
    <t>Восстановление (ремонт) отмостки</t>
  </si>
  <si>
    <t>100 м2 отмостки</t>
  </si>
  <si>
    <t>1.1.12</t>
  </si>
  <si>
    <t>Восстановление (ремонт) вводов инженерных коммуникаций   в подвальные  помещения  через  фундаменты</t>
  </si>
  <si>
    <t>1.2</t>
  </si>
  <si>
    <t>Кирпичные, каменные и железобетонные стены</t>
  </si>
  <si>
    <t>1.2.11.1.1</t>
  </si>
  <si>
    <t>Заделка и герметизация швов и стыков в стенах крупноблочных и крупнопанельных домов</t>
  </si>
  <si>
    <t>на 10 м шва (стыка)</t>
  </si>
  <si>
    <t>1.2.11.1.2</t>
  </si>
  <si>
    <t>Заделка и герметизация швов и стыков в местах примыкания балконных плит к стенам</t>
  </si>
  <si>
    <t>1.2.17.4.3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</si>
  <si>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</si>
  <si>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100 м2 окрашиваемой поверхности</t>
  </si>
  <si>
    <t>1.2.18.1</t>
  </si>
  <si>
    <t>Ремонт внутренней штукатурки потолков отдельными местами</t>
  </si>
  <si>
    <t>100 кв. м</t>
  </si>
  <si>
    <t>1.2.18.3</t>
  </si>
  <si>
    <t>Перетирка штукатурки поверхности потолков</t>
  </si>
  <si>
    <t>100 кв.м</t>
  </si>
  <si>
    <t>1.2.18.9</t>
  </si>
  <si>
    <t>Окрашивание водоэмульсионными составами поверхностей потолков, ранее окрашенных известковой или клеевой краской с расчисткой старой краски более 35%</t>
  </si>
  <si>
    <t>1.2.18.12</t>
  </si>
  <si>
    <t>Перетирка штукатурки поверхностей стен и перегородок</t>
  </si>
  <si>
    <t>100 м2 поверхности</t>
  </si>
  <si>
    <t>1.5</t>
  </si>
  <si>
    <t>Перекрытия</t>
  </si>
  <si>
    <t>1.5.10</t>
  </si>
  <si>
    <t>Заделка  неплотностей вокруг  трубопроводов  отопления и   горячего  водоснабжения, проходящих через  перекрытия</t>
  </si>
  <si>
    <t>100 отверстий</t>
  </si>
  <si>
    <t>1.8</t>
  </si>
  <si>
    <t>Крыши и кровли</t>
  </si>
  <si>
    <t>1.8.1.3.1</t>
  </si>
  <si>
    <t>Постановка заплат на покрытия из мягкой кровли</t>
  </si>
  <si>
    <t>100 м2 покрытий</t>
  </si>
  <si>
    <t>1.8.9.1</t>
  </si>
  <si>
    <t>Окраска масляными составами ранее окрашенных металлических лестниц и дверей на крышу за 1 раз</t>
  </si>
  <si>
    <t>100 м2 окрашенной поверхности</t>
  </si>
  <si>
    <t>1.8.10.4</t>
  </si>
  <si>
    <t>Ремонт металлических парапетных решеток</t>
  </si>
  <si>
    <t>100 м решетки</t>
  </si>
  <si>
    <t>1.9</t>
  </si>
  <si>
    <t>Оконные и дверные проемы</t>
  </si>
  <si>
    <t>1.9.1.2</t>
  </si>
  <si>
    <t>Ремонт дверных полотен со сменой вертикальных брусков обвязки на два сопряжения</t>
  </si>
  <si>
    <t>100 брусков</t>
  </si>
  <si>
    <t>1.9.1.10</t>
  </si>
  <si>
    <t>Смена дверных петель при одной сменяемой петле в полотне</t>
  </si>
  <si>
    <t>10 петель</t>
  </si>
  <si>
    <t>1.9.1.15</t>
  </si>
  <si>
    <t>Укрепление наличников дверных проемов</t>
  </si>
  <si>
    <t>1 п.м. наличника</t>
  </si>
  <si>
    <t>1.9.1.16</t>
  </si>
  <si>
    <t>Смена пружины</t>
  </si>
  <si>
    <t>1 пружина</t>
  </si>
  <si>
    <t>1.9.1.17</t>
  </si>
  <si>
    <t>Смена ручки дверной</t>
  </si>
  <si>
    <t>1 ручка</t>
  </si>
  <si>
    <t>1.9.1.23</t>
  </si>
  <si>
    <t>Улучшенная масляная окраска дверей</t>
  </si>
  <si>
    <t>100 кв.м.</t>
  </si>
  <si>
    <t>1.10</t>
  </si>
  <si>
    <t>Лестницы</t>
  </si>
  <si>
    <t>1.10.5.2</t>
  </si>
  <si>
    <t>Окраска масляными составами ранее окрашенных металлических решеток без рельефа за 2 раза</t>
  </si>
  <si>
    <t xml:space="preserve"> 100 м2 окрашиваемой поверхности</t>
  </si>
  <si>
    <t>2.1</t>
  </si>
  <si>
    <t>Система теплоснабжения</t>
  </si>
  <si>
    <t>2.1.2.1.3</t>
  </si>
  <si>
    <t>Смена отдельных участков трубопроводов из стальных водогазопроводных неоцинкованных труб диаметром 25 мм</t>
  </si>
  <si>
    <t>100 м трубопровода</t>
  </si>
  <si>
    <t>2.1.3.5.1</t>
  </si>
  <si>
    <t>Прочистка и промывка отопительных приборов радиаторов весом до 80 кг внутри здания</t>
  </si>
  <si>
    <t>100 приборов</t>
  </si>
  <si>
    <t>2.1.6.2</t>
  </si>
  <si>
    <t>Замена прибора учета</t>
  </si>
  <si>
    <t>прибор</t>
  </si>
  <si>
    <t>2.1.8.7.2</t>
  </si>
  <si>
    <t>Смена пробковых кранов диаметром 26 мм</t>
  </si>
  <si>
    <t>100 кранов</t>
  </si>
  <si>
    <t>2.1.8.9.1</t>
  </si>
  <si>
    <t>Установка кранов для спуска воздуха из системы, диаметр крана 15-20 мм</t>
  </si>
  <si>
    <t>2.1.9.4.2</t>
  </si>
  <si>
    <t>Установка запорных вентилей на радиаторах, диаметром 20 мм</t>
  </si>
  <si>
    <t>1 прибор</t>
  </si>
  <si>
    <t>2.2</t>
  </si>
  <si>
    <t>Системы холодного и горячего водоснабжения</t>
  </si>
  <si>
    <t>2.2.2.1.6</t>
  </si>
  <si>
    <t>Обслуживание преобразователя давления</t>
  </si>
  <si>
    <t>1  преобразователь давления</t>
  </si>
  <si>
    <t>2.2.2.1.7</t>
  </si>
  <si>
    <t>Обслуживание термопреобразователя</t>
  </si>
  <si>
    <t>1  термопреобразователь</t>
  </si>
  <si>
    <t>2.2.2.1.9</t>
  </si>
  <si>
    <t>Обслуживание преобразователя расхода от 50 до  100 мм</t>
  </si>
  <si>
    <t>1 преобразователь расхода</t>
  </si>
  <si>
    <t>2.2.2.2.2</t>
  </si>
  <si>
    <t>Замена прибора учета воды без фильтра</t>
  </si>
  <si>
    <t>Счетчик воды</t>
  </si>
  <si>
    <t>2.2.6.5</t>
  </si>
  <si>
    <t>Смена задвижек диаметром до 100 мм</t>
  </si>
  <si>
    <t>2.3</t>
  </si>
  <si>
    <t>Система водоотведения</t>
  </si>
  <si>
    <t>2.3.1.2</t>
  </si>
  <si>
    <t>Смена горизонтальных участков трубопроводов канализации из полиэтиленовых труб высокой плотности диаметром 100 мм</t>
  </si>
  <si>
    <t>100 м трубопроводов</t>
  </si>
  <si>
    <t>2.3.2.2</t>
  </si>
  <si>
    <t>Смена отдельных участков чугунных труб и  внутренних чугунных канализационных выпусков при диаметре канализационного выпуска 100 мм</t>
  </si>
  <si>
    <t>2.3.3.3.3</t>
  </si>
  <si>
    <t>Подчеканка раструбов  чугунных  канализационных труб диаметром до 100 мм</t>
  </si>
  <si>
    <t>100  раструбов</t>
  </si>
  <si>
    <t>2.3.4</t>
  </si>
  <si>
    <t>Устранение засоров внутренних канализационных трубопроводов</t>
  </si>
  <si>
    <t>100 м трубы</t>
  </si>
  <si>
    <t>2.3.5</t>
  </si>
  <si>
    <t>Заделка стыков соединений стояков внутренних водостоков</t>
  </si>
  <si>
    <t>100 соединений</t>
  </si>
  <si>
    <t>2.4</t>
  </si>
  <si>
    <t>Система газоснабжения</t>
  </si>
  <si>
    <t>2.4.1.1.2</t>
  </si>
  <si>
    <t>Техническое обслуживание внутридомовых газопроводов диаметром 25-50 мм</t>
  </si>
  <si>
    <t>100 пог. м.</t>
  </si>
  <si>
    <t>2.4.2.9.1</t>
  </si>
  <si>
    <t>Проверка герметичности внутридомового газопровода и технологических устройств на нем при количестве приборов на одном стояке до 5 шт.</t>
  </si>
  <si>
    <t>стояк</t>
  </si>
  <si>
    <t>2.4.2.9.2</t>
  </si>
  <si>
    <t>Проверка герметичности внутридомового газопровода и технологических устройств на нем при количестве приборов на одном стояке 6-10 шт.</t>
  </si>
  <si>
    <t>2.4.2.9.5</t>
  </si>
  <si>
    <t>Проверка на герметичность фланцевых, резьбовых соединений и сварных стыков на газопроводе в подъезде здания при диаметре до 32 мм</t>
  </si>
  <si>
    <t>10 шт.</t>
  </si>
  <si>
    <t>2.5</t>
  </si>
  <si>
    <t>Внутридомовое электро-, радио- и телеоборудование</t>
  </si>
  <si>
    <t>2.5.1.2</t>
  </si>
  <si>
    <t>Замена автоматического выключателя</t>
  </si>
  <si>
    <t>1 автоматический выключатель</t>
  </si>
  <si>
    <t>2.5.1.4</t>
  </si>
  <si>
    <t>Замена предохранителя</t>
  </si>
  <si>
    <t>1 предохранитель</t>
  </si>
  <si>
    <t>2.5.4</t>
  </si>
  <si>
    <t>Ремонт, замена  внутридомовых электрических сетей</t>
  </si>
  <si>
    <t>1000 пог.м.</t>
  </si>
  <si>
    <t>2.5.7.1</t>
  </si>
  <si>
    <t>Замена выключателя</t>
  </si>
  <si>
    <t>1 выключатель</t>
  </si>
  <si>
    <t>2.5.7.2</t>
  </si>
  <si>
    <t>Замена светильника с лампами накаливания или энергосберегающими лампами</t>
  </si>
  <si>
    <t>1 светильник</t>
  </si>
  <si>
    <t>2.6</t>
  </si>
  <si>
    <t>Подготовка многоквартирного дома к сезонной эксплуатации, проведение технических осмотров</t>
  </si>
  <si>
    <t>2.6.5</t>
  </si>
  <si>
    <t>Утепление и прочистка дымовентиляционных каналов</t>
  </si>
  <si>
    <t>1000 кв.м. общей площади</t>
  </si>
  <si>
    <t>2.6.8.1</t>
  </si>
  <si>
    <t>Осмотр территории вокруг здания и фундамента</t>
  </si>
  <si>
    <t>2.6.8.2</t>
  </si>
  <si>
    <t>Осмотр кирпичных и железобетонных стен, фасадов</t>
  </si>
  <si>
    <t>2.6.8.6</t>
  </si>
  <si>
    <t>Осмотр железобетонных перекрытий</t>
  </si>
  <si>
    <t>2.6.8.8</t>
  </si>
  <si>
    <t>Осмотр внутренней отделки стен</t>
  </si>
  <si>
    <t>2.6.11.1</t>
  </si>
  <si>
    <t>Осмотр водопровода, канализации и горячего водоснабжения</t>
  </si>
  <si>
    <t>100 квартир</t>
  </si>
  <si>
    <t>2.6.11.3</t>
  </si>
  <si>
    <t>Прочистка канализационного лежака</t>
  </si>
  <si>
    <t>100 м канализационного лежака</t>
  </si>
  <si>
    <t>2.6.11.4</t>
  </si>
  <si>
    <t>Проверка исправности  канализационных  вытяжек</t>
  </si>
  <si>
    <t>2.6.12.2</t>
  </si>
  <si>
    <t>Проведение технических осмотров и устранение незначительных неисправностей в системе вентиляции</t>
  </si>
  <si>
    <t>2.6.14.1.1</t>
  </si>
  <si>
    <t>Осмотр внутриквартирных устройств системы центрального отопления</t>
  </si>
  <si>
    <t>2.6.14.1.2</t>
  </si>
  <si>
    <t>Осмотр устройства системы центрального отопления в чердачных и подвальных помещениях</t>
  </si>
  <si>
    <t>1000 м2 осматриваемых помещений</t>
  </si>
  <si>
    <t>2.6.14.2</t>
  </si>
  <si>
    <t>Регулировка и наладка систем отопления</t>
  </si>
  <si>
    <t>1 здание</t>
  </si>
  <si>
    <t>2.6.14.3.5</t>
  </si>
  <si>
    <t>Рабочая проверка системы в целом при диаметре трубопровода до 100 мм</t>
  </si>
  <si>
    <t>2.6.14.4.2</t>
  </si>
  <si>
    <t>Промывка трубопроводов системы центрального отопления до 100 мм</t>
  </si>
  <si>
    <t>10 м трубопровода (100 м3 здания)</t>
  </si>
  <si>
    <t>2.6.14.5.3</t>
  </si>
  <si>
    <t>Вывертывание и ввертывание радиаторной пробки</t>
  </si>
  <si>
    <t>100 пробок</t>
  </si>
  <si>
    <t>2.6.14.5.5.1</t>
  </si>
  <si>
    <t>Ликвидация воздушных пробок в стояке системы отопления</t>
  </si>
  <si>
    <t>100 стояков</t>
  </si>
  <si>
    <t>2.6.15.2.1</t>
  </si>
  <si>
    <t>Визуальный осмотр прибора учета воды диаметром 50-250 мм и проверка наличия и нарушения пломб</t>
  </si>
  <si>
    <t>1 прибор учета</t>
  </si>
  <si>
    <t>2.6.15.2.2</t>
  </si>
  <si>
    <t>Снятие и запись показаний с вычислителя в журнал (приборов учета воды диаметром 50-250 мм)</t>
  </si>
  <si>
    <t>2.6.15.2.4</t>
  </si>
  <si>
    <t>Проверка работоспособности запорной арматуры и очистка фильтров приборов учета воды диаметром 50-250 мм</t>
  </si>
  <si>
    <t>1 фильтр</t>
  </si>
  <si>
    <t>2.6.15.3.7</t>
  </si>
  <si>
    <t>При отказе или неисправной работе теплосчетчика - поиск неисправностей (узел учета тепловой энергии диаметром 25-40 мм)</t>
  </si>
  <si>
    <t>1 узел учета</t>
  </si>
  <si>
    <t>2.6.15.4.8.3</t>
  </si>
  <si>
    <t>Поверка (настройка) тепловычислителя (выборочная метрологическая поверка теплосчетчиков диаметром 50-250 мм)</t>
  </si>
  <si>
    <t>2.6.15.4.8.5</t>
  </si>
  <si>
    <t>Обсчет данных, оформление справок, распечатка архивов данных (выборочная метрологическая поверка теплосчетчиков диаметром 50-250 мм)</t>
  </si>
  <si>
    <t>2.6.15.5.3</t>
  </si>
  <si>
    <t>Снятие (демонтаж) прибора учета тепловой энергии, диаметром от 50 до 100 мм</t>
  </si>
  <si>
    <t>2.6.15.5.4</t>
  </si>
  <si>
    <t>Установка (монтаж) прибора учета тепловой энергии, диаметром от 50 до 100 мм</t>
  </si>
  <si>
    <t>2.7</t>
  </si>
  <si>
    <t>Устранение аварии и выполнение заявок населения</t>
  </si>
  <si>
    <t>2.7.1.3</t>
  </si>
  <si>
    <t>Устранение аварии на внутридомовых инженерных сетях при сроке эксплуатации многоквартирного дома от 31 до 50 лет</t>
  </si>
  <si>
    <t>1000 м2  общей площади жилых помещений, оборудованных газовыми плитами (в год для одной смены)</t>
  </si>
  <si>
    <t>3.1</t>
  </si>
  <si>
    <t>Работы по санитарному содержанию помещений общего пользования, системы мусороудаления и фасадов</t>
  </si>
  <si>
    <t>3.1.1.1.1.1</t>
  </si>
  <si>
    <t>Подметание лестничных площадок и маршей нижних трех этажей с предварительным их увлажнением (в доме без лифтов и мусоропровода)</t>
  </si>
  <si>
    <t>100 м2 убираемой  площади</t>
  </si>
  <si>
    <t>3.1.1.1.1.2</t>
  </si>
  <si>
    <t>Подметание лестничных площадок и маршей выше третьего этажа с предварительным их увлажнением (в доме без лифтов и мусоропровода)</t>
  </si>
  <si>
    <t>100 м2  убираемой  площади</t>
  </si>
  <si>
    <t>3.1.1.1.2.1</t>
  </si>
  <si>
    <t>Мытье  лестничных площадок и маршей нижних трех этажей (в доме без лифтов и мусоропровода)</t>
  </si>
  <si>
    <t>3.1.1.1.2.2</t>
  </si>
  <si>
    <t>Мытье  лестничных площадок и маршей  выше третьего этажа (в доме без лифтов и мусоропровода)</t>
  </si>
  <si>
    <t>3.1.3.1</t>
  </si>
  <si>
    <t>Протирка пыли  с колпаков  светильников (в подвалах, на чердаках и лестничных клетках)</t>
  </si>
  <si>
    <t>3.1.3.2</t>
  </si>
  <si>
    <t>Протирка пыли  с подоконников в помещениях общего  пользования</t>
  </si>
  <si>
    <t xml:space="preserve">100 м2 подоконников </t>
  </si>
  <si>
    <t>3.1.4.1</t>
  </si>
  <si>
    <t>Мытье и протирка дверей  в помещениях общего пользования</t>
  </si>
  <si>
    <t>100 м2 дверей</t>
  </si>
  <si>
    <t>3.1.4.3</t>
  </si>
  <si>
    <t>Мытье и протирка легкодоступных стекол в окнах  в помещениях общего пользования</t>
  </si>
  <si>
    <t>100 м2 окон</t>
  </si>
  <si>
    <t>3.1.5.2.1</t>
  </si>
  <si>
    <t>Уборка мусора и транспортировкой мусора до 50 м</t>
  </si>
  <si>
    <t>1 м3  мусора</t>
  </si>
  <si>
    <t>3.1.9.5</t>
  </si>
  <si>
    <t>Влажная протирка шкафов для электросчетчиков слаботочных устройств  (с моющим средством)</t>
  </si>
  <si>
    <t>100 кв. м шкафов для электросчетчиков слаботочных устройств</t>
  </si>
  <si>
    <t>3.1.9.7</t>
  </si>
  <si>
    <t>Влажная протирка перил лестниц (с моющим средством)</t>
  </si>
  <si>
    <t>100 кв.м. перил лестниц</t>
  </si>
  <si>
    <t>3.2</t>
  </si>
  <si>
    <t>Уборка земельного участка, входящего в состав общего имущества многоквартирного дома</t>
  </si>
  <si>
    <t>3.2.1.2</t>
  </si>
  <si>
    <t>Подметание в летний период  земельного участка с усовершенствованным покрытием 2 класса</t>
  </si>
  <si>
    <t>1 000 кв.м. территории</t>
  </si>
  <si>
    <t>3.2.3.1.1</t>
  </si>
  <si>
    <t>Уборка газонов средней засоренности от листьев, сучьев, мусора</t>
  </si>
  <si>
    <t>100 000 кв.м. территории</t>
  </si>
  <si>
    <t>3.2.3.1.3</t>
  </si>
  <si>
    <t>Уборка газонов от случайного мусора</t>
  </si>
  <si>
    <t>100 000 м2</t>
  </si>
  <si>
    <t>3.2.3.1.5</t>
  </si>
  <si>
    <t>Стрижка газонов</t>
  </si>
  <si>
    <t>на 100 кв.м.</t>
  </si>
  <si>
    <t>3.2.3.2.10</t>
  </si>
  <si>
    <t>Очистка опрокидывающихся урн от мусора</t>
  </si>
  <si>
    <t>на 100 урн</t>
  </si>
  <si>
    <t>3.2.6.2</t>
  </si>
  <si>
    <t>Сдвижка и подметание снега при отсутствии снегопада на придомовой территории с усовершенствованным покрытием 2 класса</t>
  </si>
  <si>
    <t>10 000 кв.м. территории</t>
  </si>
  <si>
    <t>3.2.7.2</t>
  </si>
  <si>
    <t>Сдвижка и подметание снега при снегопаде на придомовой территории с усовершенствованным покрытием 2 класса</t>
  </si>
  <si>
    <t>3.2.8.2</t>
  </si>
  <si>
    <t>Очистка территории с усовершенствованным покрытием 2 класса от наледи без обработки противогололедными реагентами</t>
  </si>
  <si>
    <t>3.2.9.2</t>
  </si>
  <si>
    <t>Очистка кровли от снега, сбивание сосулек (при толщине слоя до 20 см)</t>
  </si>
  <si>
    <t>100 кв.м. кровли</t>
  </si>
  <si>
    <t>3.2.9.3</t>
  </si>
  <si>
    <t>Очистка кровли от снега, сбивание сосулек (при толщине слоя более 20 см добавлять на каждые следующие 10 см)</t>
  </si>
  <si>
    <t>3.2.9.4</t>
  </si>
  <si>
    <t>Очистка кровли от мусора, листьев</t>
  </si>
  <si>
    <t>100 кв.м кровли</t>
  </si>
  <si>
    <t>3.2.9.5</t>
  </si>
  <si>
    <t>Сдвигание снега и скола, сброшенного с крыш</t>
  </si>
  <si>
    <t>1 куб.м.</t>
  </si>
  <si>
    <t>3.2.10.4</t>
  </si>
  <si>
    <t>Сдвигание свежевыпавшего снега толщиной слоя свыше 2 см в валы или кучи трактором</t>
  </si>
  <si>
    <t>1000 м2</t>
  </si>
  <si>
    <t>3.2.11</t>
  </si>
  <si>
    <t>Уборка крыльца и площадки перед входом в подъезд (в холодный период года)</t>
  </si>
  <si>
    <t>3.2.12</t>
  </si>
  <si>
    <t>Уборка крыльца и площадки перед входом в подъезд (в теплый период года)</t>
  </si>
  <si>
    <t>3.4</t>
  </si>
  <si>
    <t>Прочие работы</t>
  </si>
  <si>
    <t>3.4.1.3</t>
  </si>
  <si>
    <t>Дератизация чердаков и подвалов с применением готовой приманки типа "Шторм" -  антикоагулянта II поколения</t>
  </si>
  <si>
    <t>1000 м2  обрабатываемых  помещений</t>
  </si>
  <si>
    <t>3.4.2</t>
  </si>
  <si>
    <t>Дезинсекция  подвалов</t>
  </si>
  <si>
    <t>ИТОГО:</t>
  </si>
  <si>
    <t xml:space="preserve">1.12. МКД коридорного типа с газоснабжением, с уборкой мест общего пользования и придомовой территории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</si>
</sst>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.00"/>
  </numFmts>
  <fonts count="10" x14ac:knownFonts="1">
    <font>
      <sz val="11"/>
      <color theme="1"/>
      <name val="Calibri"/>
      <family val="2"/>
      <scheme val="minor"/>
    </font>
    <font>
      <sz val="9"/>
      <name val="Calibri"/>
    </font>
    <font>
      <sz val="10"/>
      <name val="Calibri"/>
    </font>
    <font>
      <sz val="12"/>
      <name val="Calibri"/>
    </font>
    <font>
      <b/>
      <sz val="9"/>
      <color rgb="FFFFFFFF"/>
      <name val="Calibri"/>
    </font>
    <font>
      <b/>
      <sz val="18"/>
      <color rgb="FF000099"/>
      <name val="Calibri"/>
    </font>
    <font>
      <i/>
      <sz val="11"/>
      <name val="Calibri"/>
    </font>
    <font>
      <b/>
      <sz val="11"/>
      <name val="Calibri"/>
    </font>
    <font>
      <b/>
      <sz val="11"/>
      <color rgb="FFFFFFFF"/>
      <name val="Calibri"/>
    </font>
    <font>
      <b/>
      <sz val="10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546E7A"/>
      </patternFill>
    </fill>
    <fill>
      <patternFill patternType="solid">
        <fgColor rgb="FFDCE6F1"/>
      </patternFill>
    </fill>
    <fill>
      <patternFill patternType="solid">
        <fgColor rgb="FFF9F7ED"/>
      </patternFill>
    </fill>
    <fill>
      <patternFill patternType="solid">
        <fgColor rgb="FFF5F2E0"/>
      </patternFill>
    </fill>
    <fill>
      <patternFill patternType="solid">
        <fgColor rgb="FFEBF1DE"/>
      </patternFill>
    </fill>
  </fills>
  <borders count="12">
    <border>
      <left/>
      <right/>
      <top/>
      <bottom/>
      <diagonal/>
    </border>
    <border>
      <left style="thick">
        <color rgb="FF000000"/>
      </left>
      <right style="thin">
        <color rgb="FFFFFFFF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top" wrapText="1" indent="1"/>
    </xf>
    <xf numFmtId="49" fontId="2" fillId="0" borderId="0" xfId="0" applyNumberFormat="1" applyFont="1" applyAlignment="1">
      <alignment horizontal="left" vertical="top" wrapText="1" inden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indent="1"/>
    </xf>
    <xf numFmtId="164" fontId="2" fillId="0" borderId="0" xfId="0" applyNumberFormat="1" applyFont="1" applyAlignment="1">
      <alignment horizontal="right" vertical="top" indent="1"/>
    </xf>
    <xf numFmtId="2" fontId="2" fillId="0" borderId="0" xfId="0" applyNumberFormat="1" applyFont="1" applyAlignment="1">
      <alignment horizontal="right" vertical="top" indent="1"/>
    </xf>
    <xf numFmtId="0" fontId="4" fillId="0" borderId="0" xfId="0" applyFont="1" applyAlignment="1">
      <alignment horizontal="center" vertical="center" wrapText="1" indent="1"/>
    </xf>
    <xf numFmtId="0" fontId="4" fillId="2" borderId="1" xfId="0" applyFont="1" applyFill="1" applyBorder="1" applyAlignment="1">
      <alignment horizontal="center" vertical="center" wrapText="1" indent="1"/>
    </xf>
    <xf numFmtId="49" fontId="4" fillId="2" borderId="2" xfId="0" applyNumberFormat="1" applyFont="1" applyFill="1" applyBorder="1" applyAlignment="1">
      <alignment horizontal="center" vertical="center" wrapText="1" indent="1"/>
    </xf>
    <xf numFmtId="0" fontId="4" fillId="2" borderId="2" xfId="0" applyFont="1" applyFill="1" applyBorder="1" applyAlignment="1">
      <alignment horizontal="center" vertical="center" wrapText="1" indent="1"/>
    </xf>
    <xf numFmtId="164" fontId="4" fillId="2" borderId="2" xfId="0" applyNumberFormat="1" applyFont="1" applyFill="1" applyBorder="1" applyAlignment="1">
      <alignment horizontal="center" vertical="center" wrapText="1" indent="1"/>
    </xf>
    <xf numFmtId="2" fontId="4" fillId="2" borderId="3" xfId="0" applyNumberFormat="1" applyFont="1" applyFill="1" applyBorder="1" applyAlignment="1">
      <alignment horizontal="center" vertical="center" wrapText="1" indent="1"/>
    </xf>
    <xf numFmtId="0" fontId="6" fillId="0" borderId="6" xfId="0" applyFont="1" applyBorder="1" applyAlignment="1">
      <alignment horizontal="left" indent="1"/>
    </xf>
    <xf numFmtId="2" fontId="6" fillId="0" borderId="8" xfId="0" applyNumberFormat="1" applyFont="1" applyBorder="1" applyAlignment="1">
      <alignment horizontal="left" indent="1"/>
    </xf>
    <xf numFmtId="0" fontId="7" fillId="0" borderId="0" xfId="0" applyFont="1"/>
    <xf numFmtId="0" fontId="7" fillId="3" borderId="9" xfId="0" applyFont="1" applyFill="1" applyBorder="1" applyAlignment="1">
      <alignment horizontal="center" vertical="top" wrapText="1" indent="1"/>
    </xf>
    <xf numFmtId="49" fontId="7" fillId="3" borderId="10" xfId="0" applyNumberFormat="1" applyFont="1" applyFill="1" applyBorder="1" applyAlignment="1">
      <alignment horizontal="left" vertical="top" wrapText="1" indent="1"/>
    </xf>
    <xf numFmtId="0" fontId="1" fillId="0" borderId="9" xfId="0" applyFont="1" applyBorder="1" applyAlignment="1">
      <alignment horizontal="center" vertical="top" wrapText="1" indent="1"/>
    </xf>
    <xf numFmtId="49" fontId="2" fillId="0" borderId="10" xfId="0" applyNumberFormat="1" applyFont="1" applyBorder="1" applyAlignment="1">
      <alignment horizontal="left" vertical="top" wrapText="1" indent="1"/>
    </xf>
    <xf numFmtId="0" fontId="2" fillId="0" borderId="10" xfId="0" applyFont="1" applyBorder="1" applyAlignment="1">
      <alignment horizontal="left" vertical="top" wrapText="1"/>
    </xf>
    <xf numFmtId="0" fontId="3" fillId="4" borderId="10" xfId="0" applyFont="1" applyFill="1" applyBorder="1" applyAlignment="1">
      <alignment horizontal="right" vertical="top" indent="1"/>
    </xf>
    <xf numFmtId="0" fontId="3" fillId="5" borderId="10" xfId="0" applyFont="1" applyFill="1" applyBorder="1" applyAlignment="1">
      <alignment horizontal="right" vertical="top" indent="1"/>
    </xf>
    <xf numFmtId="164" fontId="2" fillId="0" borderId="10" xfId="0" applyNumberFormat="1" applyFont="1" applyBorder="1" applyAlignment="1">
      <alignment horizontal="right" vertical="top" indent="1"/>
    </xf>
    <xf numFmtId="164" fontId="2" fillId="6" borderId="10" xfId="0" applyNumberFormat="1" applyFont="1" applyFill="1" applyBorder="1" applyAlignment="1">
      <alignment horizontal="right" vertical="top" indent="1"/>
    </xf>
    <xf numFmtId="2" fontId="2" fillId="0" borderId="11" xfId="0" applyNumberFormat="1" applyFont="1" applyBorder="1" applyAlignment="1">
      <alignment horizontal="right" vertical="top" indent="1"/>
    </xf>
    <xf numFmtId="0" fontId="8" fillId="0" borderId="0" xfId="0" applyFont="1" applyAlignment="1">
      <alignment horizontal="right" vertical="center" wrapText="1" indent="1"/>
    </xf>
    <xf numFmtId="164" fontId="8" fillId="2" borderId="2" xfId="0" applyNumberFormat="1" applyFont="1" applyFill="1" applyBorder="1" applyAlignment="1">
      <alignment horizontal="right" vertical="center" wrapText="1" indent="1"/>
    </xf>
    <xf numFmtId="2" fontId="8" fillId="2" borderId="3" xfId="0" applyNumberFormat="1" applyFont="1" applyFill="1" applyBorder="1" applyAlignment="1">
      <alignment horizontal="right" vertical="center" wrapText="1" indent="1"/>
    </xf>
    <xf numFmtId="0" fontId="5" fillId="0" borderId="4" xfId="0" applyFont="1" applyBorder="1" applyAlignment="1">
      <alignment horizontal="left" vertical="center" indent="1"/>
    </xf>
    <xf numFmtId="164" fontId="6" fillId="0" borderId="5" xfId="0" applyNumberFormat="1" applyFont="1" applyBorder="1" applyAlignment="1">
      <alignment horizontal="right" indent="1"/>
    </xf>
    <xf numFmtId="164" fontId="6" fillId="0" borderId="7" xfId="0" applyNumberFormat="1" applyFont="1" applyBorder="1" applyAlignment="1">
      <alignment horizontal="right" indent="1"/>
    </xf>
    <xf numFmtId="0" fontId="7" fillId="3" borderId="1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righ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4"/>
  <sheetViews>
    <sheetView tabSelected="1" workbookViewId="0">
      <pane ySplit="1" topLeftCell="A2" activePane="bottomLeft" state="frozen"/>
      <selection pane="bottomLeft" activeCell="F9" sqref="F9"/>
    </sheetView>
  </sheetViews>
  <sheetFormatPr defaultRowHeight="15.6" x14ac:dyDescent="0.3"/>
  <cols>
    <col min="1" max="1" width="3" customWidth="1"/>
    <col min="2" max="2" width="6" style="1" customWidth="1"/>
    <col min="3" max="3" width="13" style="2" customWidth="1"/>
    <col min="4" max="4" width="50" style="3" customWidth="1"/>
    <col min="5" max="5" width="20" style="3" customWidth="1"/>
    <col min="6" max="7" width="12" style="4" customWidth="1"/>
    <col min="8" max="9" width="14" style="5" customWidth="1"/>
    <col min="10" max="10" width="13" style="5" customWidth="1"/>
    <col min="11" max="13" width="14" style="5" customWidth="1"/>
    <col min="14" max="14" width="16" style="5" customWidth="1"/>
    <col min="15" max="15" width="12" style="6" customWidth="1"/>
  </cols>
  <sheetData>
    <row r="1" spans="1:15" s="7" customFormat="1" ht="40.049999999999997" customHeight="1" x14ac:dyDescent="0.3">
      <c r="A1" s="7" t="s">
        <v>0</v>
      </c>
      <c r="B1" s="8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2" t="s">
        <v>14</v>
      </c>
    </row>
    <row r="2" spans="1:15" ht="14.4" x14ac:dyDescent="0.3">
      <c r="A2" t="s">
        <v>0</v>
      </c>
      <c r="B2" s="29" t="s">
        <v>332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 t="s">
        <v>15</v>
      </c>
      <c r="N2" s="30"/>
      <c r="O2" s="13" t="s">
        <v>16</v>
      </c>
    </row>
    <row r="3" spans="1:15" ht="14.4" x14ac:dyDescent="0.3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1" t="s">
        <v>17</v>
      </c>
      <c r="N3" s="31"/>
      <c r="O3" s="14">
        <v>4054.3</v>
      </c>
    </row>
    <row r="4" spans="1:15" s="15" customFormat="1" ht="14.4" x14ac:dyDescent="0.3">
      <c r="B4" s="16"/>
      <c r="C4" s="17" t="s">
        <v>18</v>
      </c>
      <c r="D4" s="32" t="s">
        <v>19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x14ac:dyDescent="0.3">
      <c r="B5" s="18">
        <v>1</v>
      </c>
      <c r="C5" s="19" t="s">
        <v>20</v>
      </c>
      <c r="D5" s="20" t="s">
        <v>21</v>
      </c>
      <c r="E5" s="20" t="s">
        <v>22</v>
      </c>
      <c r="F5" s="21">
        <v>0.5</v>
      </c>
      <c r="G5" s="22">
        <v>1</v>
      </c>
      <c r="H5" s="23">
        <f>F5 * G5 * 1491.126</f>
        <v>745.56299999999999</v>
      </c>
      <c r="I5" s="23">
        <f>F5 * G5 * 0</f>
        <v>0</v>
      </c>
      <c r="J5" s="23">
        <f>F5 * G5 * 19.067664</f>
        <v>9.5338320000000003</v>
      </c>
      <c r="K5" s="23">
        <f>F5 * G5 * 1419.850177</f>
        <v>709.92508850000002</v>
      </c>
      <c r="L5" s="23">
        <f>F5 * G5 * 340.582384</f>
        <v>170.291192</v>
      </c>
      <c r="M5" s="23">
        <f>F5 * G5 * 298.2252</f>
        <v>149.11259999999999</v>
      </c>
      <c r="N5" s="24">
        <f t="shared" ref="N5:N12" si="0">SUM(H5:M5)</f>
        <v>1784.4257124999997</v>
      </c>
      <c r="O5" s="25">
        <f>IF(O3&gt;0,N5/O3/12,0)</f>
        <v>3.6677636758092221E-2</v>
      </c>
    </row>
    <row r="6" spans="1:15" ht="27.6" x14ac:dyDescent="0.3">
      <c r="B6" s="18">
        <v>2</v>
      </c>
      <c r="C6" s="19" t="s">
        <v>23</v>
      </c>
      <c r="D6" s="20" t="s">
        <v>24</v>
      </c>
      <c r="E6" s="20" t="s">
        <v>25</v>
      </c>
      <c r="F6" s="21">
        <v>1</v>
      </c>
      <c r="G6" s="22">
        <v>0.2</v>
      </c>
      <c r="H6" s="23">
        <f>F6 * G6 * 1749.520111</f>
        <v>349.90402220000004</v>
      </c>
      <c r="I6" s="23">
        <f>F6 * G6 * 3444.421459</f>
        <v>688.88429180000003</v>
      </c>
      <c r="J6" s="23">
        <f>F6 * G6 * 33.78584</f>
        <v>6.7571680000000001</v>
      </c>
      <c r="K6" s="23">
        <f>F6 * G6 * 1665.89305</f>
        <v>333.17860999999999</v>
      </c>
      <c r="L6" s="23">
        <f>F6 * G6 * 764.191832</f>
        <v>152.83836640000001</v>
      </c>
      <c r="M6" s="23">
        <f>F6 * G6 * 349.904022</f>
        <v>69.980804399999997</v>
      </c>
      <c r="N6" s="24">
        <f t="shared" si="0"/>
        <v>1601.5432628000001</v>
      </c>
      <c r="O6" s="25">
        <f>IF(O3&gt;0,N6/O3/12,0)</f>
        <v>3.2918614450501114E-2</v>
      </c>
    </row>
    <row r="7" spans="1:15" ht="41.4" x14ac:dyDescent="0.3">
      <c r="B7" s="18">
        <v>3</v>
      </c>
      <c r="C7" s="19" t="s">
        <v>26</v>
      </c>
      <c r="D7" s="20" t="s">
        <v>27</v>
      </c>
      <c r="E7" s="20" t="s">
        <v>28</v>
      </c>
      <c r="F7" s="21">
        <v>0.01</v>
      </c>
      <c r="G7" s="22">
        <v>1</v>
      </c>
      <c r="H7" s="23">
        <f>F7 * G7 * 3046.1574</f>
        <v>30.461574000000002</v>
      </c>
      <c r="I7" s="23">
        <f>F7 * G7 * 7773.148729</f>
        <v>77.731487290000004</v>
      </c>
      <c r="J7" s="23">
        <f t="shared" ref="J7:J12" si="1">F7 * G7 * 0</f>
        <v>0</v>
      </c>
      <c r="K7" s="23">
        <f>F7 * G7 * 2900.551076</f>
        <v>29.005510760000004</v>
      </c>
      <c r="L7" s="23">
        <f>F7 * G7 * 1511.718856</f>
        <v>15.117188560000001</v>
      </c>
      <c r="M7" s="23">
        <f>F7 * G7 * 609.23148</f>
        <v>6.0923148000000005</v>
      </c>
      <c r="N7" s="24">
        <f t="shared" si="0"/>
        <v>158.40807540999998</v>
      </c>
      <c r="O7" s="25">
        <f>IF(O3&gt;0,N7/O3/12,0)</f>
        <v>3.2559684657852972E-3</v>
      </c>
    </row>
    <row r="8" spans="1:15" x14ac:dyDescent="0.3">
      <c r="B8" s="18">
        <v>4</v>
      </c>
      <c r="C8" s="19" t="s">
        <v>29</v>
      </c>
      <c r="D8" s="20" t="s">
        <v>30</v>
      </c>
      <c r="E8" s="20" t="s">
        <v>31</v>
      </c>
      <c r="F8" s="21">
        <v>0.03</v>
      </c>
      <c r="G8" s="22">
        <v>1</v>
      </c>
      <c r="H8" s="23">
        <f>F8 * G8 * 1966.15614</f>
        <v>58.984684199999997</v>
      </c>
      <c r="I8" s="23">
        <f>F8 * G8 * 4071.14</f>
        <v>122.13419999999999</v>
      </c>
      <c r="J8" s="23">
        <f t="shared" si="1"/>
        <v>0</v>
      </c>
      <c r="K8" s="23">
        <f>F8 * G8 * 1872.173877</f>
        <v>56.165216309999998</v>
      </c>
      <c r="L8" s="23">
        <f>F8 * G8 * 875.934981</f>
        <v>26.278049429999999</v>
      </c>
      <c r="M8" s="23">
        <f>F8 * G8 * 393.231228</f>
        <v>11.796936839999999</v>
      </c>
      <c r="N8" s="24">
        <f t="shared" si="0"/>
        <v>275.35908677999998</v>
      </c>
      <c r="O8" s="25">
        <f>IF(O3&gt;0,N8/O3/12,0)</f>
        <v>5.6598156438842709E-3</v>
      </c>
    </row>
    <row r="9" spans="1:15" x14ac:dyDescent="0.3">
      <c r="B9" s="18">
        <v>5</v>
      </c>
      <c r="C9" s="19" t="s">
        <v>32</v>
      </c>
      <c r="D9" s="20" t="s">
        <v>33</v>
      </c>
      <c r="E9" s="20" t="s">
        <v>31</v>
      </c>
      <c r="F9" s="21">
        <v>0.01</v>
      </c>
      <c r="G9" s="22">
        <v>0.1</v>
      </c>
      <c r="H9" s="23">
        <f>F9 * G9 * 7108.2468</f>
        <v>7.1082467999999999</v>
      </c>
      <c r="I9" s="23">
        <f>F9 * G9 * 6220.356</f>
        <v>6.2203559999999998</v>
      </c>
      <c r="J9" s="23">
        <f t="shared" si="1"/>
        <v>0</v>
      </c>
      <c r="K9" s="23">
        <f>F9 * G9 * 6768.472603</f>
        <v>6.7684726030000002</v>
      </c>
      <c r="L9" s="23">
        <f>F9 * G9 * 2270.225463</f>
        <v>2.2702254630000001</v>
      </c>
      <c r="M9" s="23">
        <f>F9 * G9 * 1421.64936</f>
        <v>1.42164936</v>
      </c>
      <c r="N9" s="24">
        <f t="shared" si="0"/>
        <v>23.788950225999997</v>
      </c>
      <c r="O9" s="25">
        <f>IF(O3&gt;0,N9/O3/12,0)</f>
        <v>4.8896542407649479E-4</v>
      </c>
    </row>
    <row r="10" spans="1:15" x14ac:dyDescent="0.3">
      <c r="B10" s="18">
        <v>6</v>
      </c>
      <c r="C10" s="19" t="s">
        <v>34</v>
      </c>
      <c r="D10" s="20" t="s">
        <v>35</v>
      </c>
      <c r="E10" s="20" t="s">
        <v>31</v>
      </c>
      <c r="F10" s="21">
        <v>0.02</v>
      </c>
      <c r="G10" s="22">
        <v>0.2</v>
      </c>
      <c r="H10" s="23">
        <f>F10 * G10 * 8435.5128</f>
        <v>33.742051200000006</v>
      </c>
      <c r="I10" s="23">
        <f>F10 * G10 * 2822.82</f>
        <v>11.29128</v>
      </c>
      <c r="J10" s="23">
        <f t="shared" si="1"/>
        <v>0</v>
      </c>
      <c r="K10" s="23">
        <f>F10 * G10 * 8032.29528799999</f>
        <v>32.129181151999958</v>
      </c>
      <c r="L10" s="23">
        <f>F10 * G10 * 2213.150583</f>
        <v>8.852602332</v>
      </c>
      <c r="M10" s="23">
        <f>F10 * G10 * 1687.10256</f>
        <v>6.7484102400000001</v>
      </c>
      <c r="N10" s="24">
        <f t="shared" si="0"/>
        <v>92.763524923999967</v>
      </c>
      <c r="O10" s="25">
        <f>IF(O3&gt;0,N10/O3/12,0)</f>
        <v>1.9066901175706444E-3</v>
      </c>
    </row>
    <row r="11" spans="1:15" x14ac:dyDescent="0.3">
      <c r="B11" s="18">
        <v>7</v>
      </c>
      <c r="C11" s="19" t="s">
        <v>36</v>
      </c>
      <c r="D11" s="20" t="s">
        <v>37</v>
      </c>
      <c r="E11" s="20" t="s">
        <v>38</v>
      </c>
      <c r="F11" s="21">
        <v>0.5</v>
      </c>
      <c r="G11" s="22">
        <v>0.1</v>
      </c>
      <c r="H11" s="23">
        <f>F11 * G11 * 9202.86918</f>
        <v>460.14345900000001</v>
      </c>
      <c r="I11" s="23">
        <f>F11 * G11 * 56577.405091</f>
        <v>2828.87025455</v>
      </c>
      <c r="J11" s="23">
        <f t="shared" si="1"/>
        <v>0</v>
      </c>
      <c r="K11" s="23">
        <f>F11 * G11 * 8762.972033</f>
        <v>438.14860165000005</v>
      </c>
      <c r="L11" s="23">
        <f>F11 * G11 * 8058.493025</f>
        <v>402.92465125000001</v>
      </c>
      <c r="M11" s="23">
        <f>F11 * G11 * 1840.573836</f>
        <v>92.028691800000004</v>
      </c>
      <c r="N11" s="24">
        <f t="shared" si="0"/>
        <v>4222.1156582500007</v>
      </c>
      <c r="O11" s="25">
        <f>IF(O3&gt;0,N11/O3/12,0)</f>
        <v>8.6782668159937196E-2</v>
      </c>
    </row>
    <row r="12" spans="1:15" ht="41.4" x14ac:dyDescent="0.3">
      <c r="B12" s="18">
        <v>8</v>
      </c>
      <c r="C12" s="19" t="s">
        <v>39</v>
      </c>
      <c r="D12" s="20" t="s">
        <v>40</v>
      </c>
      <c r="E12" s="20" t="s">
        <v>31</v>
      </c>
      <c r="F12" s="21">
        <v>0.02</v>
      </c>
      <c r="G12" s="22">
        <v>0.1</v>
      </c>
      <c r="H12" s="23">
        <f>F12 * G12 * 17847.71313</f>
        <v>35.695426259999998</v>
      </c>
      <c r="I12" s="23">
        <f>F12 * G12 * 17083.49702</f>
        <v>34.166994039999999</v>
      </c>
      <c r="J12" s="23">
        <f t="shared" si="1"/>
        <v>0</v>
      </c>
      <c r="K12" s="23">
        <f>F12 * G12 * 16994.592443</f>
        <v>33.989184886000004</v>
      </c>
      <c r="L12" s="23">
        <f>F12 * G12 * 5854.75892</f>
        <v>11.70951784</v>
      </c>
      <c r="M12" s="23">
        <f>F12 * G12 * 3569.542626</f>
        <v>7.1390852520000001</v>
      </c>
      <c r="N12" s="24">
        <f t="shared" si="0"/>
        <v>122.70020827800001</v>
      </c>
      <c r="O12" s="25">
        <f>IF(O3&gt;0,N12/O3/12,0)</f>
        <v>2.5220179455146389E-3</v>
      </c>
    </row>
    <row r="13" spans="1:15" s="15" customFormat="1" ht="14.4" x14ac:dyDescent="0.3">
      <c r="B13" s="16"/>
      <c r="C13" s="17" t="s">
        <v>41</v>
      </c>
      <c r="D13" s="32" t="s">
        <v>42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27.6" x14ac:dyDescent="0.3">
      <c r="B14" s="18">
        <v>9</v>
      </c>
      <c r="C14" s="19" t="s">
        <v>43</v>
      </c>
      <c r="D14" s="20" t="s">
        <v>44</v>
      </c>
      <c r="E14" s="20" t="s">
        <v>45</v>
      </c>
      <c r="F14" s="21">
        <v>1.5</v>
      </c>
      <c r="G14" s="22">
        <v>1</v>
      </c>
      <c r="H14" s="23">
        <f>F14 * G14 * 2708.85159</f>
        <v>4063.2773850000003</v>
      </c>
      <c r="I14" s="23">
        <f>F14 * G14 * 1942.130804</f>
        <v>2913.1962059999996</v>
      </c>
      <c r="J14" s="23">
        <f t="shared" ref="J14:J20" si="2">F14 * G14 * 0</f>
        <v>0</v>
      </c>
      <c r="K14" s="23">
        <f>F14 * G14 * 2579.368484</f>
        <v>3869.0527259999999</v>
      </c>
      <c r="L14" s="23">
        <f>F14 * G14 * 819.958785999999</f>
        <v>1229.9381789999984</v>
      </c>
      <c r="M14" s="23">
        <f>F14 * G14 * 541.770318</f>
        <v>812.65547700000002</v>
      </c>
      <c r="N14" s="24">
        <f t="shared" ref="N14:N20" si="3">SUM(H14:M14)</f>
        <v>12888.119972999999</v>
      </c>
      <c r="O14" s="25">
        <f>IF(O3&gt;0,N14/O3/12,0)</f>
        <v>0.26490639512369579</v>
      </c>
    </row>
    <row r="15" spans="1:15" ht="27.6" x14ac:dyDescent="0.3">
      <c r="B15" s="18">
        <v>10</v>
      </c>
      <c r="C15" s="19" t="s">
        <v>46</v>
      </c>
      <c r="D15" s="20" t="s">
        <v>47</v>
      </c>
      <c r="E15" s="20" t="s">
        <v>45</v>
      </c>
      <c r="F15" s="21">
        <v>0.5</v>
      </c>
      <c r="G15" s="22">
        <v>1</v>
      </c>
      <c r="H15" s="23">
        <f>F15 * G15 * 1314.9765</f>
        <v>657.48824999999999</v>
      </c>
      <c r="I15" s="23">
        <f>F15 * G15 * 1942.130804</f>
        <v>971.06540199999995</v>
      </c>
      <c r="J15" s="23">
        <f t="shared" si="2"/>
        <v>0</v>
      </c>
      <c r="K15" s="23">
        <f>F15 * G15 * 1252.120623</f>
        <v>626.06031150000001</v>
      </c>
      <c r="L15" s="23">
        <f>F15 * G15 * 503.469549999999</f>
        <v>251.7347749999995</v>
      </c>
      <c r="M15" s="23">
        <f>F15 * G15 * 262.9953</f>
        <v>131.49764999999999</v>
      </c>
      <c r="N15" s="24">
        <f t="shared" si="3"/>
        <v>2637.8463884999992</v>
      </c>
      <c r="O15" s="25">
        <f>IF(O3&gt;0,N15/O3/12,0)</f>
        <v>5.421910869323926E-2</v>
      </c>
    </row>
    <row r="16" spans="1:15" ht="41.4" x14ac:dyDescent="0.3">
      <c r="B16" s="18">
        <v>11</v>
      </c>
      <c r="C16" s="19" t="s">
        <v>48</v>
      </c>
      <c r="D16" s="20" t="s">
        <v>49</v>
      </c>
      <c r="E16" s="20" t="s">
        <v>50</v>
      </c>
      <c r="F16" s="21">
        <v>2</v>
      </c>
      <c r="G16" s="22">
        <v>1</v>
      </c>
      <c r="H16" s="23">
        <f>F16 * G16 * 8303.638272</f>
        <v>16607.276544</v>
      </c>
      <c r="I16" s="23">
        <f>F16 * G16 * 11358.829364</f>
        <v>22717.658727999999</v>
      </c>
      <c r="J16" s="23">
        <f t="shared" si="2"/>
        <v>0</v>
      </c>
      <c r="K16" s="23">
        <f>F16 * G16 * 7906.72436299999</f>
        <v>15813.448725999981</v>
      </c>
      <c r="L16" s="23">
        <f>F16 * G16 * 3083.756523</f>
        <v>6167.513046</v>
      </c>
      <c r="M16" s="23">
        <f>F16 * G16 * 1660.727654</f>
        <v>3321.4553080000001</v>
      </c>
      <c r="N16" s="24">
        <f t="shared" si="3"/>
        <v>64627.35235199998</v>
      </c>
      <c r="O16" s="25">
        <f>IF(O3&gt;0,N16/O3/12,0)</f>
        <v>1.328370543867005</v>
      </c>
    </row>
    <row r="17" spans="2:15" ht="27.6" x14ac:dyDescent="0.3">
      <c r="B17" s="18">
        <v>12</v>
      </c>
      <c r="C17" s="19" t="s">
        <v>51</v>
      </c>
      <c r="D17" s="20" t="s">
        <v>52</v>
      </c>
      <c r="E17" s="20" t="s">
        <v>53</v>
      </c>
      <c r="F17" s="21">
        <v>0.05</v>
      </c>
      <c r="G17" s="22">
        <v>1</v>
      </c>
      <c r="H17" s="23">
        <f>F17 * G17 * 52599.06</f>
        <v>2629.953</v>
      </c>
      <c r="I17" s="23">
        <f>F17 * G17 * 22740.767469</f>
        <v>1137.0383734499999</v>
      </c>
      <c r="J17" s="23">
        <f t="shared" si="2"/>
        <v>0</v>
      </c>
      <c r="K17" s="23">
        <f>F17 * G17 * 50084.824932</f>
        <v>2504.2412466000005</v>
      </c>
      <c r="L17" s="23">
        <f>F17 * G17 * 14342.140994</f>
        <v>717.10704970000006</v>
      </c>
      <c r="M17" s="23">
        <f>F17 * G17 * 10519.812</f>
        <v>525.99059999999997</v>
      </c>
      <c r="N17" s="24">
        <f t="shared" si="3"/>
        <v>7514.3302697500003</v>
      </c>
      <c r="O17" s="25">
        <f>IF(O3&gt;0,N17/O3/12,0)</f>
        <v>0.1544518632429355</v>
      </c>
    </row>
    <row r="18" spans="2:15" x14ac:dyDescent="0.3">
      <c r="B18" s="18">
        <v>13</v>
      </c>
      <c r="C18" s="19" t="s">
        <v>54</v>
      </c>
      <c r="D18" s="20" t="s">
        <v>55</v>
      </c>
      <c r="E18" s="20" t="s">
        <v>56</v>
      </c>
      <c r="F18" s="21">
        <v>0.05</v>
      </c>
      <c r="G18" s="22">
        <v>1</v>
      </c>
      <c r="H18" s="23">
        <f>F18 * G18 * 7839.0624</f>
        <v>391.95312000000001</v>
      </c>
      <c r="I18" s="23">
        <f>F18 * G18 * 139.200915</f>
        <v>6.9600457500000008</v>
      </c>
      <c r="J18" s="23">
        <f t="shared" si="2"/>
        <v>0</v>
      </c>
      <c r="K18" s="23">
        <f>F18 * G18 * 7464.355217</f>
        <v>373.21776085000005</v>
      </c>
      <c r="L18" s="23">
        <f>F18 * G18 * 1794.600472</f>
        <v>89.73002360000001</v>
      </c>
      <c r="M18" s="23">
        <f>F18 * G18 * 1567.81248</f>
        <v>78.390624000000003</v>
      </c>
      <c r="N18" s="24">
        <f t="shared" si="3"/>
        <v>940.25157420000005</v>
      </c>
      <c r="O18" s="25">
        <f>IF(O3&gt;0,N18/O3/12,0)</f>
        <v>1.9326221012258591E-2</v>
      </c>
    </row>
    <row r="19" spans="2:15" ht="55.2" x14ac:dyDescent="0.3">
      <c r="B19" s="18">
        <v>14</v>
      </c>
      <c r="C19" s="19" t="s">
        <v>57</v>
      </c>
      <c r="D19" s="20" t="s">
        <v>58</v>
      </c>
      <c r="E19" s="20" t="s">
        <v>50</v>
      </c>
      <c r="F19" s="21">
        <v>0.05</v>
      </c>
      <c r="G19" s="22">
        <v>1</v>
      </c>
      <c r="H19" s="23">
        <f>F19 * G19 * 9543.573446</f>
        <v>477.17867230000002</v>
      </c>
      <c r="I19" s="23">
        <f>F19 * G19 * 11493.579755</f>
        <v>574.67898775000003</v>
      </c>
      <c r="J19" s="23">
        <f t="shared" si="2"/>
        <v>0</v>
      </c>
      <c r="K19" s="23">
        <f>F19 * G19 * 9087.390635</f>
        <v>454.36953175000002</v>
      </c>
      <c r="L19" s="23">
        <f>F19 * G19 * 3379.508775</f>
        <v>168.97543875</v>
      </c>
      <c r="M19" s="23">
        <f>F19 * G19 * 1908.714689</f>
        <v>95.435734449999998</v>
      </c>
      <c r="N19" s="24">
        <f t="shared" si="3"/>
        <v>1770.638365</v>
      </c>
      <c r="O19" s="25">
        <f>IF(O3&gt;0,N19/O3/12,0)</f>
        <v>3.6394247362882208E-2</v>
      </c>
    </row>
    <row r="20" spans="2:15" x14ac:dyDescent="0.3">
      <c r="B20" s="18">
        <v>15</v>
      </c>
      <c r="C20" s="19" t="s">
        <v>59</v>
      </c>
      <c r="D20" s="20" t="s">
        <v>60</v>
      </c>
      <c r="E20" s="20" t="s">
        <v>61</v>
      </c>
      <c r="F20" s="21">
        <v>1</v>
      </c>
      <c r="G20" s="22">
        <v>1</v>
      </c>
      <c r="H20" s="23">
        <f>F20 * G20 * 5144.3847</f>
        <v>5144.3846999999996</v>
      </c>
      <c r="I20" s="23">
        <f>F20 * G20 * 139.200915</f>
        <v>139.20091500000001</v>
      </c>
      <c r="J20" s="23">
        <f t="shared" si="2"/>
        <v>0</v>
      </c>
      <c r="K20" s="23">
        <f>F20 * G20 * 4898.483111</f>
        <v>4898.4831109999996</v>
      </c>
      <c r="L20" s="23">
        <f>F20 * G20 * 1182.754767</f>
        <v>1182.7547669999999</v>
      </c>
      <c r="M20" s="23">
        <f>F20 * G20 * 1028.87694</f>
        <v>1028.8769400000001</v>
      </c>
      <c r="N20" s="24">
        <f t="shared" si="3"/>
        <v>12393.700433</v>
      </c>
      <c r="O20" s="25">
        <f>IF(O3&gt;0,N20/O3/12,0)</f>
        <v>0.25474394332354949</v>
      </c>
    </row>
    <row r="21" spans="2:15" s="15" customFormat="1" ht="14.4" x14ac:dyDescent="0.3">
      <c r="B21" s="16"/>
      <c r="C21" s="17" t="s">
        <v>62</v>
      </c>
      <c r="D21" s="32" t="s">
        <v>63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2:15" ht="41.4" x14ac:dyDescent="0.3">
      <c r="B22" s="18">
        <v>16</v>
      </c>
      <c r="C22" s="19" t="s">
        <v>64</v>
      </c>
      <c r="D22" s="20" t="s">
        <v>65</v>
      </c>
      <c r="E22" s="20" t="s">
        <v>66</v>
      </c>
      <c r="F22" s="21">
        <v>0.02</v>
      </c>
      <c r="G22" s="22">
        <v>1</v>
      </c>
      <c r="H22" s="23">
        <f>F22 * G22 * 16795.40421</f>
        <v>335.90808420000002</v>
      </c>
      <c r="I22" s="23">
        <f>F22 * G22 * 3227.508203</f>
        <v>64.55016406</v>
      </c>
      <c r="J22" s="23">
        <f>F22 * G22 * 0</f>
        <v>0</v>
      </c>
      <c r="K22" s="23">
        <f>F22 * G22 * 15992.583889</f>
        <v>319.85167777999999</v>
      </c>
      <c r="L22" s="23">
        <f>F22 * G22 * 4154.017889</f>
        <v>83.08035778</v>
      </c>
      <c r="M22" s="23">
        <f>F22 * G22 * 3359.080842</f>
        <v>67.181616840000004</v>
      </c>
      <c r="N22" s="24">
        <f>SUM(H22:M22)</f>
        <v>870.57190065999998</v>
      </c>
      <c r="O22" s="25">
        <f>IF(O3&gt;0,N22/O3/12,0)</f>
        <v>1.789400349957658E-2</v>
      </c>
    </row>
    <row r="23" spans="2:15" s="15" customFormat="1" ht="14.4" x14ac:dyDescent="0.3">
      <c r="B23" s="16"/>
      <c r="C23" s="17" t="s">
        <v>67</v>
      </c>
      <c r="D23" s="32" t="s">
        <v>68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2:15" x14ac:dyDescent="0.3">
      <c r="B24" s="18">
        <v>17</v>
      </c>
      <c r="C24" s="19" t="s">
        <v>69</v>
      </c>
      <c r="D24" s="20" t="s">
        <v>70</v>
      </c>
      <c r="E24" s="20" t="s">
        <v>71</v>
      </c>
      <c r="F24" s="21">
        <v>0.1</v>
      </c>
      <c r="G24" s="22">
        <v>1</v>
      </c>
      <c r="H24" s="23">
        <f>F24 * G24 * 5475.095145</f>
        <v>547.50951450000002</v>
      </c>
      <c r="I24" s="23">
        <f>F24 * G24 * 52241.43154</f>
        <v>5224.1431540000003</v>
      </c>
      <c r="J24" s="23">
        <f>F24 * G24 * 139.50288</f>
        <v>13.950288</v>
      </c>
      <c r="K24" s="23">
        <f>F24 * G24 * 5265.96462</f>
        <v>526.59646199999997</v>
      </c>
      <c r="L24" s="23">
        <f>F24 * G24 * 6776.060004</f>
        <v>677.60600040000008</v>
      </c>
      <c r="M24" s="23">
        <f>F24 * G24 * 1106.062722</f>
        <v>110.60627219999999</v>
      </c>
      <c r="N24" s="24">
        <f>SUM(H24:M24)</f>
        <v>7100.4116911000001</v>
      </c>
      <c r="O24" s="25">
        <f>IF(O3&gt;0,N24/O3/12,0)</f>
        <v>0.14594405304450417</v>
      </c>
    </row>
    <row r="25" spans="2:15" ht="27.6" x14ac:dyDescent="0.3">
      <c r="B25" s="18">
        <v>18</v>
      </c>
      <c r="C25" s="19" t="s">
        <v>72</v>
      </c>
      <c r="D25" s="20" t="s">
        <v>73</v>
      </c>
      <c r="E25" s="20" t="s">
        <v>74</v>
      </c>
      <c r="F25" s="21">
        <v>0.1</v>
      </c>
      <c r="G25" s="22">
        <v>0.2</v>
      </c>
      <c r="H25" s="23">
        <f>F25 * G25 * 4732.512758</f>
        <v>94.650255160000015</v>
      </c>
      <c r="I25" s="23">
        <f>F25 * G25 * 1838.677544</f>
        <v>36.773550880000002</v>
      </c>
      <c r="J25" s="23">
        <f>F25 * G25 * 0.7744</f>
        <v>1.5488000000000002E-2</v>
      </c>
      <c r="K25" s="23">
        <f>F25 * G25 * 4506.298648</f>
        <v>90.125972960000013</v>
      </c>
      <c r="L25" s="23">
        <f>F25 * G25 * 1268.612803</f>
        <v>25.372256060000005</v>
      </c>
      <c r="M25" s="23">
        <f>F25 * G25 * 946.502552</f>
        <v>18.930051040000006</v>
      </c>
      <c r="N25" s="24">
        <f>SUM(H25:M25)</f>
        <v>265.86757410000007</v>
      </c>
      <c r="O25" s="25">
        <f>IF(O3&gt;0,N25/O3/12,0)</f>
        <v>5.4647241632340979E-3</v>
      </c>
    </row>
    <row r="26" spans="2:15" x14ac:dyDescent="0.3">
      <c r="B26" s="18">
        <v>19</v>
      </c>
      <c r="C26" s="19" t="s">
        <v>75</v>
      </c>
      <c r="D26" s="20" t="s">
        <v>76</v>
      </c>
      <c r="E26" s="20" t="s">
        <v>77</v>
      </c>
      <c r="F26" s="21">
        <v>0.05</v>
      </c>
      <c r="G26" s="22">
        <v>0.1</v>
      </c>
      <c r="H26" s="23">
        <f>F26 * G26 * 22091.6052</f>
        <v>110.45802600000003</v>
      </c>
      <c r="I26" s="23">
        <f>F26 * G26 * 2518.786259</f>
        <v>12.593931295000003</v>
      </c>
      <c r="J26" s="23">
        <f>F26 * G26 * 0</f>
        <v>0</v>
      </c>
      <c r="K26" s="23">
        <f>F26 * G26 * 21035.626471</f>
        <v>105.17813235500002</v>
      </c>
      <c r="L26" s="23">
        <f>F26 * G26 * 5281.787762</f>
        <v>26.408938810000006</v>
      </c>
      <c r="M26" s="23">
        <f>F26 * G26 * 4418.32104</f>
        <v>22.091605200000004</v>
      </c>
      <c r="N26" s="24">
        <f>SUM(H26:M26)</f>
        <v>276.73063366000008</v>
      </c>
      <c r="O26" s="25">
        <f>IF(O3&gt;0,N26/O3/12,0)</f>
        <v>5.6880068417071604E-3</v>
      </c>
    </row>
    <row r="27" spans="2:15" s="15" customFormat="1" ht="14.4" x14ac:dyDescent="0.3">
      <c r="B27" s="16"/>
      <c r="C27" s="17" t="s">
        <v>78</v>
      </c>
      <c r="D27" s="32" t="s">
        <v>79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2:15" ht="27.6" x14ac:dyDescent="0.3">
      <c r="B28" s="18">
        <v>20</v>
      </c>
      <c r="C28" s="19" t="s">
        <v>80</v>
      </c>
      <c r="D28" s="20" t="s">
        <v>81</v>
      </c>
      <c r="E28" s="20" t="s">
        <v>82</v>
      </c>
      <c r="F28" s="21"/>
      <c r="G28" s="22">
        <v>1</v>
      </c>
      <c r="H28" s="23">
        <f>F28 * G28 * 95872.896558</f>
        <v>0</v>
      </c>
      <c r="I28" s="23">
        <f>F28 * G28 * 7518.738088</f>
        <v>0</v>
      </c>
      <c r="J28" s="23">
        <f>F28 * G28 * 17.5956</f>
        <v>0</v>
      </c>
      <c r="K28" s="23">
        <f>F28 * G28 * 91290.172103</f>
        <v>0</v>
      </c>
      <c r="L28" s="23">
        <f>F28 * G28 * 22563.705065</f>
        <v>0</v>
      </c>
      <c r="M28" s="23">
        <f>F28 * G28 * 19174.579312</f>
        <v>0</v>
      </c>
      <c r="N28" s="24">
        <f t="shared" ref="N28:N33" si="4">SUM(H28:M28)</f>
        <v>0</v>
      </c>
      <c r="O28" s="25">
        <f>IF(O3&gt;0,N28/O3/12,0)</f>
        <v>0</v>
      </c>
    </row>
    <row r="29" spans="2:15" ht="27.6" x14ac:dyDescent="0.3">
      <c r="B29" s="18">
        <v>21</v>
      </c>
      <c r="C29" s="19" t="s">
        <v>83</v>
      </c>
      <c r="D29" s="20" t="s">
        <v>84</v>
      </c>
      <c r="E29" s="20" t="s">
        <v>85</v>
      </c>
      <c r="F29" s="21">
        <v>0.4</v>
      </c>
      <c r="G29" s="22">
        <v>1</v>
      </c>
      <c r="H29" s="23">
        <f>F29 * G29 * 1690.05204</f>
        <v>676.02081600000008</v>
      </c>
      <c r="I29" s="23">
        <f>F29 * G29 * 278.320088</f>
        <v>111.3280352</v>
      </c>
      <c r="J29" s="23">
        <f>F29 * G29 * 0</f>
        <v>0</v>
      </c>
      <c r="K29" s="23">
        <f>F29 * G29 * 1609.267552</f>
        <v>643.70702080000001</v>
      </c>
      <c r="L29" s="23">
        <f>F29 * G29 * 413.101084</f>
        <v>165.24043360000002</v>
      </c>
      <c r="M29" s="23">
        <f>F29 * G29 * 338.010408</f>
        <v>135.20416320000001</v>
      </c>
      <c r="N29" s="24">
        <f t="shared" si="4"/>
        <v>1731.5004688000001</v>
      </c>
      <c r="O29" s="25">
        <f>IF(O3&gt;0,N29/O3/12,0)</f>
        <v>3.5589794966660912E-2</v>
      </c>
    </row>
    <row r="30" spans="2:15" x14ac:dyDescent="0.3">
      <c r="B30" s="18">
        <v>22</v>
      </c>
      <c r="C30" s="19" t="s">
        <v>86</v>
      </c>
      <c r="D30" s="20" t="s">
        <v>87</v>
      </c>
      <c r="E30" s="20" t="s">
        <v>88</v>
      </c>
      <c r="F30" s="21">
        <v>10</v>
      </c>
      <c r="G30" s="22">
        <v>1</v>
      </c>
      <c r="H30" s="23">
        <f>F30 * G30 * 16.615404</f>
        <v>166.15404000000001</v>
      </c>
      <c r="I30" s="23">
        <f>F30 * G30 * 0.9775</f>
        <v>9.7750000000000004</v>
      </c>
      <c r="J30" s="23">
        <f>F30 * G30 * 0</f>
        <v>0</v>
      </c>
      <c r="K30" s="23">
        <f>F30 * G30 * 15.821188</f>
        <v>158.21188000000001</v>
      </c>
      <c r="L30" s="23">
        <f>F30 * G30 * 3.875772</f>
        <v>38.757719999999999</v>
      </c>
      <c r="M30" s="23">
        <f>F30 * G30 * 3.323081</f>
        <v>33.230810000000005</v>
      </c>
      <c r="N30" s="24">
        <f t="shared" si="4"/>
        <v>406.12945000000008</v>
      </c>
      <c r="O30" s="25">
        <f>IF(O3&gt;0,N30/O3/12,0)</f>
        <v>8.3477100444795255E-3</v>
      </c>
    </row>
    <row r="31" spans="2:15" x14ac:dyDescent="0.3">
      <c r="B31" s="18">
        <v>23</v>
      </c>
      <c r="C31" s="19" t="s">
        <v>89</v>
      </c>
      <c r="D31" s="20" t="s">
        <v>90</v>
      </c>
      <c r="E31" s="20" t="s">
        <v>91</v>
      </c>
      <c r="F31" s="21">
        <v>2</v>
      </c>
      <c r="G31" s="22">
        <v>1</v>
      </c>
      <c r="H31" s="23">
        <f>F31 * G31 * 147.097122</f>
        <v>294.19424400000003</v>
      </c>
      <c r="I31" s="23">
        <f>F31 * G31 * 71.566806</f>
        <v>143.133612</v>
      </c>
      <c r="J31" s="23">
        <f>F31 * G31 * 0</f>
        <v>0</v>
      </c>
      <c r="K31" s="23">
        <f>F31 * G31 * 140.065879</f>
        <v>280.13175799999999</v>
      </c>
      <c r="L31" s="23">
        <f>F31 * G31 * 40.9497439999999</f>
        <v>81.899487999999806</v>
      </c>
      <c r="M31" s="23">
        <f>F31 * G31 * 29.419424</f>
        <v>58.838847999999999</v>
      </c>
      <c r="N31" s="24">
        <f t="shared" si="4"/>
        <v>858.19794999999976</v>
      </c>
      <c r="O31" s="25">
        <f>IF(O3&gt;0,N31/O3/12,0)</f>
        <v>1.7639665499181934E-2</v>
      </c>
    </row>
    <row r="32" spans="2:15" x14ac:dyDescent="0.3">
      <c r="B32" s="18">
        <v>24</v>
      </c>
      <c r="C32" s="19" t="s">
        <v>92</v>
      </c>
      <c r="D32" s="20" t="s">
        <v>93</v>
      </c>
      <c r="E32" s="20" t="s">
        <v>94</v>
      </c>
      <c r="F32" s="21">
        <v>2</v>
      </c>
      <c r="G32" s="22">
        <v>0.2</v>
      </c>
      <c r="H32" s="23">
        <f>F32 * G32 * 41.53851</f>
        <v>16.615404000000002</v>
      </c>
      <c r="I32" s="23">
        <f>F32 * G32 * 86.865212</f>
        <v>34.746084799999998</v>
      </c>
      <c r="J32" s="23">
        <f>F32 * G32 * 0</f>
        <v>0</v>
      </c>
      <c r="K32" s="23">
        <f>F32 * G32 * 39.55297</f>
        <v>15.821188000000001</v>
      </c>
      <c r="L32" s="23">
        <f>F32 * G32 * 18.595894</f>
        <v>7.4383576000000007</v>
      </c>
      <c r="M32" s="23">
        <f>F32 * G32 * 8.307702</f>
        <v>3.3230808000000005</v>
      </c>
      <c r="N32" s="24">
        <f t="shared" si="4"/>
        <v>77.944115200000013</v>
      </c>
      <c r="O32" s="25">
        <f>IF(O3&gt;0,N32/O3/12,0)</f>
        <v>1.6020873969201427E-3</v>
      </c>
    </row>
    <row r="33" spans="2:15" x14ac:dyDescent="0.3">
      <c r="B33" s="18">
        <v>25</v>
      </c>
      <c r="C33" s="19" t="s">
        <v>95</v>
      </c>
      <c r="D33" s="20" t="s">
        <v>96</v>
      </c>
      <c r="E33" s="20" t="s">
        <v>97</v>
      </c>
      <c r="F33" s="21">
        <v>2.4E-2</v>
      </c>
      <c r="G33" s="22">
        <v>0.2</v>
      </c>
      <c r="H33" s="23">
        <f>F33 * G33 * 18409.671</f>
        <v>88.3664208</v>
      </c>
      <c r="I33" s="23">
        <f>F33 * G33 * 3090.784109</f>
        <v>14.835763723200003</v>
      </c>
      <c r="J33" s="23">
        <f>F33 * G33 * 0</f>
        <v>0</v>
      </c>
      <c r="K33" s="23">
        <f>F33 * G33 * 17529.688726</f>
        <v>84.142505884800016</v>
      </c>
      <c r="L33" s="23">
        <f>F33 * G33 * 4506.124233</f>
        <v>21.629396318400001</v>
      </c>
      <c r="M33" s="23">
        <f>F33 * G33 * 3681.9342</f>
        <v>17.673284160000001</v>
      </c>
      <c r="N33" s="24">
        <f t="shared" si="4"/>
        <v>226.64737088640004</v>
      </c>
      <c r="O33" s="25">
        <f>IF(O3&gt;0,N33/O3/12,0)</f>
        <v>4.6585800032558035E-3</v>
      </c>
    </row>
    <row r="34" spans="2:15" s="15" customFormat="1" ht="14.4" x14ac:dyDescent="0.3">
      <c r="B34" s="16"/>
      <c r="C34" s="17" t="s">
        <v>98</v>
      </c>
      <c r="D34" s="32" t="s">
        <v>99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</row>
    <row r="35" spans="2:15" ht="27.6" x14ac:dyDescent="0.3">
      <c r="B35" s="18">
        <v>26</v>
      </c>
      <c r="C35" s="19" t="s">
        <v>100</v>
      </c>
      <c r="D35" s="20" t="s">
        <v>101</v>
      </c>
      <c r="E35" s="20" t="s">
        <v>102</v>
      </c>
      <c r="F35" s="21">
        <v>0.1</v>
      </c>
      <c r="G35" s="22">
        <v>1</v>
      </c>
      <c r="H35" s="23">
        <f>F35 * G35 * 21634.92738</f>
        <v>2163.4927380000004</v>
      </c>
      <c r="I35" s="23">
        <f>F35 * G35 * 1787.75201</f>
        <v>178.77520100000001</v>
      </c>
      <c r="J35" s="23">
        <f>F35 * G35 * 0</f>
        <v>0</v>
      </c>
      <c r="K35" s="23">
        <f>F35 * G35 * 20600.777851</f>
        <v>2060.0777850999998</v>
      </c>
      <c r="L35" s="23">
        <f>F35 * G35 * 5100.971707</f>
        <v>510.09717069999999</v>
      </c>
      <c r="M35" s="23">
        <f>F35 * G35 * 4326.985476</f>
        <v>432.69854759999998</v>
      </c>
      <c r="N35" s="24">
        <f>SUM(H35:M35)</f>
        <v>5345.1414423999995</v>
      </c>
      <c r="O35" s="25">
        <f>IF(O3&gt;0,N35/O3/12,0)</f>
        <v>0.10986568668656321</v>
      </c>
    </row>
    <row r="36" spans="2:15" s="15" customFormat="1" ht="14.4" x14ac:dyDescent="0.3">
      <c r="B36" s="16"/>
      <c r="C36" s="17" t="s">
        <v>103</v>
      </c>
      <c r="D36" s="32" t="s">
        <v>104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</row>
    <row r="37" spans="2:15" ht="41.4" x14ac:dyDescent="0.3">
      <c r="B37" s="18">
        <v>27</v>
      </c>
      <c r="C37" s="19" t="s">
        <v>105</v>
      </c>
      <c r="D37" s="20" t="s">
        <v>106</v>
      </c>
      <c r="E37" s="20" t="s">
        <v>107</v>
      </c>
      <c r="F37" s="21">
        <v>0.03</v>
      </c>
      <c r="G37" s="22">
        <v>1</v>
      </c>
      <c r="H37" s="23">
        <f>F37 * G37 * 23932.5723</f>
        <v>717.977169</v>
      </c>
      <c r="I37" s="23">
        <f>F37 * G37 * 16222.51295</f>
        <v>486.6753885</v>
      </c>
      <c r="J37" s="23">
        <f t="shared" ref="J37:J42" si="5">F37 * G37 * 0</f>
        <v>0</v>
      </c>
      <c r="K37" s="23">
        <f>F37 * G37 * 22788.595344</f>
        <v>683.65786032000005</v>
      </c>
      <c r="L37" s="23">
        <f>F37 * G37 * 7145.535578</f>
        <v>214.36606734</v>
      </c>
      <c r="M37" s="23">
        <f>F37 * G37 * 4786.51446</f>
        <v>143.5954338</v>
      </c>
      <c r="N37" s="24">
        <f t="shared" ref="N37:N42" si="6">SUM(H37:M37)</f>
        <v>2246.2719189600002</v>
      </c>
      <c r="O37" s="25">
        <f>IF(O3&gt;0,N37/O3/12,0)</f>
        <v>4.6170566208716672E-2</v>
      </c>
    </row>
    <row r="38" spans="2:15" ht="27.6" x14ac:dyDescent="0.3">
      <c r="B38" s="18">
        <v>28</v>
      </c>
      <c r="C38" s="19" t="s">
        <v>108</v>
      </c>
      <c r="D38" s="20" t="s">
        <v>109</v>
      </c>
      <c r="E38" s="20" t="s">
        <v>110</v>
      </c>
      <c r="F38" s="21">
        <v>0.1</v>
      </c>
      <c r="G38" s="22">
        <v>1</v>
      </c>
      <c r="H38" s="23">
        <f>F38 * G38 * 80750.86344</f>
        <v>8075.0863440000003</v>
      </c>
      <c r="I38" s="23">
        <f>F38 * G38 * 2395.36534</f>
        <v>239.53653399999999</v>
      </c>
      <c r="J38" s="23">
        <f t="shared" si="5"/>
        <v>0</v>
      </c>
      <c r="K38" s="23">
        <f>F38 * G38 * 76890.972168</f>
        <v>7689.0972167999998</v>
      </c>
      <c r="L38" s="23">
        <f>F38 * G38 * 18587.767918</f>
        <v>1858.7767918000002</v>
      </c>
      <c r="M38" s="23">
        <f>F38 * G38 * 16150.172688</f>
        <v>1615.0172688000002</v>
      </c>
      <c r="N38" s="24">
        <f t="shared" si="6"/>
        <v>19477.5141554</v>
      </c>
      <c r="O38" s="25">
        <f>IF(O3&gt;0,N38/O3/12,0)</f>
        <v>0.40034683659735754</v>
      </c>
    </row>
    <row r="39" spans="2:15" x14ac:dyDescent="0.3">
      <c r="B39" s="18">
        <v>29</v>
      </c>
      <c r="C39" s="19" t="s">
        <v>111</v>
      </c>
      <c r="D39" s="20" t="s">
        <v>112</v>
      </c>
      <c r="E39" s="20" t="s">
        <v>113</v>
      </c>
      <c r="F39" s="21">
        <v>1</v>
      </c>
      <c r="G39" s="22">
        <v>0.3</v>
      </c>
      <c r="H39" s="23">
        <f>F39 * G39 * 791.820678</f>
        <v>237.5462034</v>
      </c>
      <c r="I39" s="23">
        <f>F39 * G39 * 119397</f>
        <v>35819.1</v>
      </c>
      <c r="J39" s="23">
        <f t="shared" si="5"/>
        <v>0</v>
      </c>
      <c r="K39" s="23">
        <f>F39 * G39 * 753.97165</f>
        <v>226.19149499999997</v>
      </c>
      <c r="L39" s="23">
        <f>F39 * G39 * 12776.172007</f>
        <v>3832.8516020999996</v>
      </c>
      <c r="M39" s="23">
        <f>F39 * G39 * 158.364136</f>
        <v>47.509240800000001</v>
      </c>
      <c r="N39" s="24">
        <f t="shared" si="6"/>
        <v>40163.1985413</v>
      </c>
      <c r="O39" s="25">
        <f>IF(O3&gt;0,N39/O3/12,0)</f>
        <v>0.82552677694669852</v>
      </c>
    </row>
    <row r="40" spans="2:15" x14ac:dyDescent="0.3">
      <c r="B40" s="18">
        <v>30</v>
      </c>
      <c r="C40" s="19" t="s">
        <v>114</v>
      </c>
      <c r="D40" s="20" t="s">
        <v>115</v>
      </c>
      <c r="E40" s="20" t="s">
        <v>116</v>
      </c>
      <c r="F40" s="21">
        <v>0.1</v>
      </c>
      <c r="G40" s="22">
        <v>1</v>
      </c>
      <c r="H40" s="23">
        <f>F40 * G40 * 17106.984</f>
        <v>1710.6984000000002</v>
      </c>
      <c r="I40" s="23">
        <f>F40 * G40 * 24002.226401</f>
        <v>2400.2226401000003</v>
      </c>
      <c r="J40" s="23">
        <f t="shared" si="5"/>
        <v>0</v>
      </c>
      <c r="K40" s="23">
        <f>F40 * G40 * 16289.270165</f>
        <v>1628.9270165</v>
      </c>
      <c r="L40" s="23">
        <f>F40 * G40 * 6416.497062</f>
        <v>641.64970620000008</v>
      </c>
      <c r="M40" s="23">
        <f>F40 * G40 * 3421.3968</f>
        <v>342.13968</v>
      </c>
      <c r="N40" s="24">
        <f t="shared" si="6"/>
        <v>6723.6374427999999</v>
      </c>
      <c r="O40" s="25">
        <f>IF(O3&gt;0,N40/O3/12,0)</f>
        <v>0.13819971887461049</v>
      </c>
    </row>
    <row r="41" spans="2:15" ht="27.6" x14ac:dyDescent="0.3">
      <c r="B41" s="18">
        <v>31</v>
      </c>
      <c r="C41" s="19" t="s">
        <v>117</v>
      </c>
      <c r="D41" s="20" t="s">
        <v>118</v>
      </c>
      <c r="E41" s="20" t="s">
        <v>116</v>
      </c>
      <c r="F41" s="21">
        <v>0.02</v>
      </c>
      <c r="G41" s="22">
        <v>1</v>
      </c>
      <c r="H41" s="23">
        <f>F41 * G41 * 32444.28</f>
        <v>648.88559999999995</v>
      </c>
      <c r="I41" s="23">
        <f>F41 * G41 * 37756.094501</f>
        <v>755.12189002000002</v>
      </c>
      <c r="J41" s="23">
        <f t="shared" si="5"/>
        <v>0</v>
      </c>
      <c r="K41" s="23">
        <f>F41 * G41 * 30893.443416</f>
        <v>617.86886831999993</v>
      </c>
      <c r="L41" s="23">
        <f>F41 * G41 * 11349.972099</f>
        <v>226.99944198000003</v>
      </c>
      <c r="M41" s="23">
        <f>F41 * G41 * 6488.856</f>
        <v>129.77712</v>
      </c>
      <c r="N41" s="24">
        <f t="shared" si="6"/>
        <v>2378.6529203200002</v>
      </c>
      <c r="O41" s="25">
        <f>IF(O3&gt;0,N41/O3/12,0)</f>
        <v>4.8891566162675017E-2</v>
      </c>
    </row>
    <row r="42" spans="2:15" ht="27.6" x14ac:dyDescent="0.3">
      <c r="B42" s="18">
        <v>32</v>
      </c>
      <c r="C42" s="19" t="s">
        <v>119</v>
      </c>
      <c r="D42" s="20" t="s">
        <v>120</v>
      </c>
      <c r="E42" s="20" t="s">
        <v>121</v>
      </c>
      <c r="F42" s="21">
        <v>5</v>
      </c>
      <c r="G42" s="22">
        <v>1</v>
      </c>
      <c r="H42" s="23">
        <f>F42 * G42 * 118.929588</f>
        <v>594.64793999999995</v>
      </c>
      <c r="I42" s="23">
        <f>F42 * G42 * 2087.035</f>
        <v>10435.174999999999</v>
      </c>
      <c r="J42" s="23">
        <f t="shared" si="5"/>
        <v>0</v>
      </c>
      <c r="K42" s="23">
        <f>F42 * G42 * 113.244753</f>
        <v>566.22376499999996</v>
      </c>
      <c r="L42" s="23">
        <f>F42 * G42 * 247.186</f>
        <v>1235.93</v>
      </c>
      <c r="M42" s="23">
        <f>F42 * G42 * 23.785918</f>
        <v>118.92958999999999</v>
      </c>
      <c r="N42" s="24">
        <f t="shared" si="6"/>
        <v>12950.906295000001</v>
      </c>
      <c r="O42" s="25">
        <f>IF(O3&gt;0,N42/O3/12,0)</f>
        <v>0.26619692456157656</v>
      </c>
    </row>
    <row r="43" spans="2:15" s="15" customFormat="1" ht="14.4" x14ac:dyDescent="0.3">
      <c r="B43" s="16"/>
      <c r="C43" s="17" t="s">
        <v>122</v>
      </c>
      <c r="D43" s="32" t="s">
        <v>123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</row>
    <row r="44" spans="2:15" ht="27.6" x14ac:dyDescent="0.3">
      <c r="B44" s="18">
        <v>33</v>
      </c>
      <c r="C44" s="19" t="s">
        <v>124</v>
      </c>
      <c r="D44" s="20" t="s">
        <v>125</v>
      </c>
      <c r="E44" s="20" t="s">
        <v>126</v>
      </c>
      <c r="F44" s="21">
        <v>2</v>
      </c>
      <c r="G44" s="22">
        <v>12</v>
      </c>
      <c r="H44" s="23">
        <f>F44 * G44 * 262.896984</f>
        <v>6309.5276159999994</v>
      </c>
      <c r="I44" s="23">
        <f>F44 * G44 * 0</f>
        <v>0</v>
      </c>
      <c r="J44" s="23">
        <f>F44 * G44 * 0</f>
        <v>0</v>
      </c>
      <c r="K44" s="23">
        <f>F44 * G44 * 250.330509</f>
        <v>6007.9322160000002</v>
      </c>
      <c r="L44" s="23">
        <f>F44 * G44 * 59.692626</f>
        <v>1432.623024</v>
      </c>
      <c r="M44" s="23">
        <f>F44 * G44 * 52.579397</f>
        <v>1261.905528</v>
      </c>
      <c r="N44" s="24">
        <f>SUM(H44:M44)</f>
        <v>15011.988384</v>
      </c>
      <c r="O44" s="25">
        <f>IF(O3&gt;0,N44/O3/12,0)</f>
        <v>0.308561041856794</v>
      </c>
    </row>
    <row r="45" spans="2:15" ht="41.4" x14ac:dyDescent="0.3">
      <c r="B45" s="18">
        <v>34</v>
      </c>
      <c r="C45" s="19" t="s">
        <v>127</v>
      </c>
      <c r="D45" s="20" t="s">
        <v>128</v>
      </c>
      <c r="E45" s="20" t="s">
        <v>129</v>
      </c>
      <c r="F45" s="21">
        <v>3</v>
      </c>
      <c r="G45" s="22">
        <v>12</v>
      </c>
      <c r="H45" s="23">
        <f>F45 * G45 * 291.064518</f>
        <v>10478.322648000001</v>
      </c>
      <c r="I45" s="23">
        <f>F45 * G45 * 0</f>
        <v>0</v>
      </c>
      <c r="J45" s="23">
        <f>F45 * G45 * 0</f>
        <v>0</v>
      </c>
      <c r="K45" s="23">
        <f>F45 * G45 * 277.151634</f>
        <v>9977.4588239999994</v>
      </c>
      <c r="L45" s="23">
        <f>F45 * G45 * 66.0882649999999</f>
        <v>2379.177539999996</v>
      </c>
      <c r="M45" s="23">
        <f>F45 * G45 * 58.212904</f>
        <v>2095.6645440000002</v>
      </c>
      <c r="N45" s="24">
        <f>SUM(H45:M45)</f>
        <v>24930.623555999999</v>
      </c>
      <c r="O45" s="25">
        <f>IF(O3&gt;0,N45/O3/12,0)</f>
        <v>0.51243173001504572</v>
      </c>
    </row>
    <row r="46" spans="2:15" ht="27.6" x14ac:dyDescent="0.3">
      <c r="B46" s="18">
        <v>35</v>
      </c>
      <c r="C46" s="19" t="s">
        <v>130</v>
      </c>
      <c r="D46" s="20" t="s">
        <v>131</v>
      </c>
      <c r="E46" s="20" t="s">
        <v>132</v>
      </c>
      <c r="F46" s="21">
        <v>3</v>
      </c>
      <c r="G46" s="22">
        <v>1</v>
      </c>
      <c r="H46" s="23">
        <f>F46 * G46 * 3270.56367</f>
        <v>9811.6910100000005</v>
      </c>
      <c r="I46" s="23">
        <f>F46 * G46 * 0</f>
        <v>0</v>
      </c>
      <c r="J46" s="23">
        <f>F46 * G46 * 0</f>
        <v>0</v>
      </c>
      <c r="K46" s="23">
        <f>F46 * G46 * 3114.230727</f>
        <v>9342.6921810000003</v>
      </c>
      <c r="L46" s="23">
        <f>F46 * G46 * 742.604703</f>
        <v>2227.8141089999999</v>
      </c>
      <c r="M46" s="23">
        <f>F46 * G46 * 654.112734</f>
        <v>1962.3382020000001</v>
      </c>
      <c r="N46" s="24">
        <f>SUM(H46:M46)</f>
        <v>23344.535501999999</v>
      </c>
      <c r="O46" s="25">
        <f>IF(O3&gt;0,N46/O3/12,0)</f>
        <v>0.47983078669560708</v>
      </c>
    </row>
    <row r="47" spans="2:15" x14ac:dyDescent="0.3">
      <c r="B47" s="18">
        <v>36</v>
      </c>
      <c r="C47" s="19" t="s">
        <v>133</v>
      </c>
      <c r="D47" s="20" t="s">
        <v>134</v>
      </c>
      <c r="E47" s="20" t="s">
        <v>135</v>
      </c>
      <c r="F47" s="21">
        <v>1</v>
      </c>
      <c r="G47" s="22">
        <v>0.2</v>
      </c>
      <c r="H47" s="23">
        <f>F47 * G47 * 2150.482254</f>
        <v>430.09645080000001</v>
      </c>
      <c r="I47" s="23">
        <f>F47 * G47 * 8547.326</f>
        <v>1709.4651999999999</v>
      </c>
      <c r="J47" s="23">
        <f>F47 * G47 * 0</f>
        <v>0</v>
      </c>
      <c r="K47" s="23">
        <f>F47 * G47 * 2047.689202</f>
        <v>409.53784040000005</v>
      </c>
      <c r="L47" s="23">
        <f>F47 * G47 * 1390.025158</f>
        <v>278.0050316</v>
      </c>
      <c r="M47" s="23">
        <f>F47 * G47 * 430.096451</f>
        <v>86.0192902</v>
      </c>
      <c r="N47" s="24">
        <f>SUM(H47:M47)</f>
        <v>2913.1238129999997</v>
      </c>
      <c r="O47" s="25">
        <f>IF(O3&gt;0,N47/O3/12,0)</f>
        <v>5.9877245825419916E-2</v>
      </c>
    </row>
    <row r="48" spans="2:15" x14ac:dyDescent="0.3">
      <c r="B48" s="18">
        <v>37</v>
      </c>
      <c r="C48" s="19" t="s">
        <v>136</v>
      </c>
      <c r="D48" s="20" t="s">
        <v>137</v>
      </c>
      <c r="E48" s="20" t="s">
        <v>31</v>
      </c>
      <c r="F48" s="21">
        <v>0.01</v>
      </c>
      <c r="G48" s="22">
        <v>0.2</v>
      </c>
      <c r="H48" s="23">
        <f>F48 * G48 * 124468.056</f>
        <v>248.93611200000001</v>
      </c>
      <c r="I48" s="23">
        <f>F48 * G48 * 642333.712216</f>
        <v>1284.667424432</v>
      </c>
      <c r="J48" s="23">
        <f>F48 * G48 * 0</f>
        <v>0</v>
      </c>
      <c r="K48" s="23">
        <f>F48 * G48 * 118518.482923</f>
        <v>237.03696584600002</v>
      </c>
      <c r="L48" s="23">
        <f>F48 * G48 * 96027.562477</f>
        <v>192.05512495400001</v>
      </c>
      <c r="M48" s="23">
        <f>F48 * G48 * 24893.6112</f>
        <v>49.787222399999997</v>
      </c>
      <c r="N48" s="24">
        <f>SUM(H48:M48)</f>
        <v>2012.4828496319999</v>
      </c>
      <c r="O48" s="25">
        <f>IF(O3&gt;0,N48/O3/12,0)</f>
        <v>4.1365193531805733E-2</v>
      </c>
    </row>
    <row r="49" spans="2:15" s="15" customFormat="1" ht="14.4" x14ac:dyDescent="0.3">
      <c r="B49" s="16"/>
      <c r="C49" s="17" t="s">
        <v>138</v>
      </c>
      <c r="D49" s="32" t="s">
        <v>139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</row>
    <row r="50" spans="2:15" ht="41.4" x14ac:dyDescent="0.3">
      <c r="B50" s="18">
        <v>38</v>
      </c>
      <c r="C50" s="19" t="s">
        <v>140</v>
      </c>
      <c r="D50" s="20" t="s">
        <v>141</v>
      </c>
      <c r="E50" s="20" t="s">
        <v>142</v>
      </c>
      <c r="F50" s="21">
        <v>0.2</v>
      </c>
      <c r="G50" s="22">
        <v>0.2</v>
      </c>
      <c r="H50" s="23">
        <f>F50 * G50 * 19525.14795</f>
        <v>781.00591800000007</v>
      </c>
      <c r="I50" s="23">
        <f>F50 * G50 * 57627.060537</f>
        <v>2305.0824214800004</v>
      </c>
      <c r="J50" s="23">
        <f>F50 * G50 * 0</f>
        <v>0</v>
      </c>
      <c r="K50" s="23">
        <f>F50 * G50 * 18591.845878</f>
        <v>743.67383512000015</v>
      </c>
      <c r="L50" s="23">
        <f>F50 * G50 * 10512.978357</f>
        <v>420.51913428000006</v>
      </c>
      <c r="M50" s="23">
        <f>F50 * G50 * 3905.02959</f>
        <v>156.20118360000004</v>
      </c>
      <c r="N50" s="24">
        <f>SUM(H50:M50)</f>
        <v>4406.4824924800005</v>
      </c>
      <c r="O50" s="25">
        <f>IF(O3&gt;0,N50/O3/12,0)</f>
        <v>9.0572200965230332E-2</v>
      </c>
    </row>
    <row r="51" spans="2:15" ht="41.4" x14ac:dyDescent="0.3">
      <c r="B51" s="18">
        <v>39</v>
      </c>
      <c r="C51" s="19" t="s">
        <v>143</v>
      </c>
      <c r="D51" s="20" t="s">
        <v>144</v>
      </c>
      <c r="E51" s="20" t="s">
        <v>142</v>
      </c>
      <c r="F51" s="21">
        <v>0.1</v>
      </c>
      <c r="G51" s="22">
        <v>0.2</v>
      </c>
      <c r="H51" s="23">
        <f>F51 * G51 * 73653.02175</f>
        <v>1473.0604350000003</v>
      </c>
      <c r="I51" s="23">
        <f>F51 * G51 * 258714.869366</f>
        <v>5174.2973873200008</v>
      </c>
      <c r="J51" s="23">
        <f>F51 * G51 * 0</f>
        <v>0</v>
      </c>
      <c r="K51" s="23">
        <f>F51 * G51 * 70132.407311</f>
        <v>1402.6481462200004</v>
      </c>
      <c r="L51" s="23">
        <f>F51 * G51 * 44017.860243</f>
        <v>880.35720486000025</v>
      </c>
      <c r="M51" s="23">
        <f>F51 * G51 * 14730.60435</f>
        <v>294.61208700000003</v>
      </c>
      <c r="N51" s="24">
        <f>SUM(H51:M51)</f>
        <v>9224.9752604000005</v>
      </c>
      <c r="O51" s="25">
        <f>IF(O3&gt;0,N51/O3/12,0)</f>
        <v>0.18961298827582238</v>
      </c>
    </row>
    <row r="52" spans="2:15" ht="27.6" x14ac:dyDescent="0.3">
      <c r="B52" s="18">
        <v>40</v>
      </c>
      <c r="C52" s="19" t="s">
        <v>145</v>
      </c>
      <c r="D52" s="20" t="s">
        <v>146</v>
      </c>
      <c r="E52" s="20" t="s">
        <v>147</v>
      </c>
      <c r="F52" s="21">
        <v>0.04</v>
      </c>
      <c r="G52" s="22">
        <v>1</v>
      </c>
      <c r="H52" s="23">
        <f>F52 * G52 * 16061.5572</f>
        <v>642.46228799999994</v>
      </c>
      <c r="I52" s="23">
        <f>F52 * G52 * 3257.331154</f>
        <v>130.29324616</v>
      </c>
      <c r="J52" s="23">
        <f>F52 * G52 * 0</f>
        <v>0</v>
      </c>
      <c r="K52" s="23">
        <f>F52 * G52 * 15293.814766</f>
        <v>611.75259063999999</v>
      </c>
      <c r="L52" s="23">
        <f>F52 * G52 * 3990.539036</f>
        <v>159.62156144000002</v>
      </c>
      <c r="M52" s="23">
        <f>F52 * G52 * 3212.31144</f>
        <v>128.49245759999999</v>
      </c>
      <c r="N52" s="24">
        <f>SUM(H52:M52)</f>
        <v>1672.62214384</v>
      </c>
      <c r="O52" s="25">
        <f>IF(O3&gt;0,N52/O3/12,0)</f>
        <v>3.4379591705925396E-2</v>
      </c>
    </row>
    <row r="53" spans="2:15" ht="27.6" x14ac:dyDescent="0.3">
      <c r="B53" s="18">
        <v>41</v>
      </c>
      <c r="C53" s="19" t="s">
        <v>148</v>
      </c>
      <c r="D53" s="20" t="s">
        <v>149</v>
      </c>
      <c r="E53" s="20" t="s">
        <v>150</v>
      </c>
      <c r="F53" s="21">
        <v>1</v>
      </c>
      <c r="G53" s="22">
        <v>1</v>
      </c>
      <c r="H53" s="23">
        <f>F53 * G53 * 2796.92634</f>
        <v>2796.92634</v>
      </c>
      <c r="I53" s="23">
        <f>F53 * G53 * 1041.05799</f>
        <v>1041.05799</v>
      </c>
      <c r="J53" s="23">
        <f>F53 * G53 * 0</f>
        <v>0</v>
      </c>
      <c r="K53" s="23">
        <f>F53 * G53 * 2663.233261</f>
        <v>2663.2332609999999</v>
      </c>
      <c r="L53" s="23">
        <f>F53 * G53 * 744.893601</f>
        <v>744.89360099999999</v>
      </c>
      <c r="M53" s="23">
        <f>F53 * G53 * 559.385268</f>
        <v>559.385268</v>
      </c>
      <c r="N53" s="24">
        <f>SUM(H53:M53)</f>
        <v>7805.4964600000003</v>
      </c>
      <c r="O53" s="25">
        <f>IF(O3&gt;0,N53/O3/12,0)</f>
        <v>0.16043658296952207</v>
      </c>
    </row>
    <row r="54" spans="2:15" ht="27.6" x14ac:dyDescent="0.3">
      <c r="B54" s="18">
        <v>42</v>
      </c>
      <c r="C54" s="19" t="s">
        <v>151</v>
      </c>
      <c r="D54" s="20" t="s">
        <v>152</v>
      </c>
      <c r="E54" s="20" t="s">
        <v>153</v>
      </c>
      <c r="F54" s="21">
        <v>0.05</v>
      </c>
      <c r="G54" s="22">
        <v>1</v>
      </c>
      <c r="H54" s="23">
        <f>F54 * G54 * 8584.6254</f>
        <v>429.23127000000005</v>
      </c>
      <c r="I54" s="23">
        <f>F54 * G54 * 59165.10212</f>
        <v>2958.2551060000005</v>
      </c>
      <c r="J54" s="23">
        <f>F54 * G54 * 0</f>
        <v>0</v>
      </c>
      <c r="K54" s="23">
        <f>F54 * G54 * 8174.280306</f>
        <v>408.71401530000003</v>
      </c>
      <c r="L54" s="23">
        <f>F54 * G54 * 8191.118422</f>
        <v>409.55592109999998</v>
      </c>
      <c r="M54" s="23">
        <f>F54 * G54 * 1716.92508</f>
        <v>85.846254000000002</v>
      </c>
      <c r="N54" s="24">
        <f>SUM(H54:M54)</f>
        <v>4291.6025664000008</v>
      </c>
      <c r="O54" s="25">
        <f>IF(O3&gt;0,N54/O3/12,0)</f>
        <v>8.821092351330688E-2</v>
      </c>
    </row>
    <row r="55" spans="2:15" s="15" customFormat="1" ht="14.4" x14ac:dyDescent="0.3">
      <c r="B55" s="16"/>
      <c r="C55" s="17" t="s">
        <v>154</v>
      </c>
      <c r="D55" s="32" t="s">
        <v>155</v>
      </c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</row>
    <row r="56" spans="2:15" ht="27.6" x14ac:dyDescent="0.3">
      <c r="B56" s="18">
        <v>43</v>
      </c>
      <c r="C56" s="19" t="s">
        <v>156</v>
      </c>
      <c r="D56" s="20" t="s">
        <v>157</v>
      </c>
      <c r="E56" s="20" t="s">
        <v>158</v>
      </c>
      <c r="F56" s="21">
        <v>5.65</v>
      </c>
      <c r="G56" s="22">
        <v>1</v>
      </c>
      <c r="H56" s="23">
        <f>F56 * G56 * 1543.31541</f>
        <v>8719.7320665000007</v>
      </c>
      <c r="I56" s="23">
        <f>F56 * G56 * 585.687533</f>
        <v>3309.1345614500005</v>
      </c>
      <c r="J56" s="23">
        <f>F56 * G56 * 0</f>
        <v>0</v>
      </c>
      <c r="K56" s="23">
        <f>F56 * G56 * 1469.544934</f>
        <v>8302.928877100001</v>
      </c>
      <c r="L56" s="23">
        <f>F56 * G56 * 412.210756</f>
        <v>2328.9907714000001</v>
      </c>
      <c r="M56" s="23">
        <f>F56 * G56 * 308.663082</f>
        <v>1743.9464132999999</v>
      </c>
      <c r="N56" s="24">
        <f>SUM(H56:M56)</f>
        <v>24404.732689750002</v>
      </c>
      <c r="O56" s="25">
        <f>IF(O3&gt;0,N56/O3/12,0)</f>
        <v>0.50162240686328918</v>
      </c>
    </row>
    <row r="57" spans="2:15" ht="41.4" x14ac:dyDescent="0.3">
      <c r="B57" s="18">
        <v>44</v>
      </c>
      <c r="C57" s="19" t="s">
        <v>159</v>
      </c>
      <c r="D57" s="20" t="s">
        <v>160</v>
      </c>
      <c r="E57" s="20" t="s">
        <v>161</v>
      </c>
      <c r="F57" s="21">
        <v>5</v>
      </c>
      <c r="G57" s="22">
        <v>1</v>
      </c>
      <c r="H57" s="23">
        <f>F57 * G57 * 184.047552</f>
        <v>920.23775999999998</v>
      </c>
      <c r="I57" s="23">
        <f>F57 * G57 * 0</f>
        <v>0</v>
      </c>
      <c r="J57" s="23">
        <f>F57 * G57 * 0</f>
        <v>0</v>
      </c>
      <c r="K57" s="23">
        <f>F57 * G57 * 175.250079</f>
        <v>876.25039500000003</v>
      </c>
      <c r="L57" s="23">
        <f>F57 * G57 * 41.789304</f>
        <v>208.94652000000002</v>
      </c>
      <c r="M57" s="23">
        <f>F57 * G57 * 36.80951</f>
        <v>184.04755</v>
      </c>
      <c r="N57" s="24">
        <f>SUM(H57:M57)</f>
        <v>2189.4822249999997</v>
      </c>
      <c r="O57" s="25">
        <f>IF(O3&gt;0,N57/O3/12,0)</f>
        <v>4.5003293314094493E-2</v>
      </c>
    </row>
    <row r="58" spans="2:15" ht="41.4" x14ac:dyDescent="0.3">
      <c r="B58" s="18">
        <v>45</v>
      </c>
      <c r="C58" s="19" t="s">
        <v>162</v>
      </c>
      <c r="D58" s="20" t="s">
        <v>163</v>
      </c>
      <c r="E58" s="20" t="s">
        <v>161</v>
      </c>
      <c r="F58" s="21">
        <v>7</v>
      </c>
      <c r="G58" s="22">
        <v>1</v>
      </c>
      <c r="H58" s="23">
        <f>F58 * G58 * 212.36256</f>
        <v>1486.53792</v>
      </c>
      <c r="I58" s="23">
        <f>F58 * G58 * 0</f>
        <v>0</v>
      </c>
      <c r="J58" s="23">
        <f>F58 * G58 * 0</f>
        <v>0</v>
      </c>
      <c r="K58" s="23">
        <f>F58 * G58 * 202.21163</f>
        <v>1415.4814100000001</v>
      </c>
      <c r="L58" s="23">
        <f>F58 * G58 * 48.218428</f>
        <v>337.52899600000001</v>
      </c>
      <c r="M58" s="23">
        <f>F58 * G58 * 42.472512</f>
        <v>297.30758400000002</v>
      </c>
      <c r="N58" s="24">
        <f>SUM(H58:M58)</f>
        <v>3536.8559100000002</v>
      </c>
      <c r="O58" s="25">
        <f>IF(O3&gt;0,N58/O3/12,0)</f>
        <v>7.2697627827245148E-2</v>
      </c>
    </row>
    <row r="59" spans="2:15" ht="41.4" x14ac:dyDescent="0.3">
      <c r="B59" s="18">
        <v>46</v>
      </c>
      <c r="C59" s="19" t="s">
        <v>164</v>
      </c>
      <c r="D59" s="20" t="s">
        <v>165</v>
      </c>
      <c r="E59" s="20" t="s">
        <v>166</v>
      </c>
      <c r="F59" s="21"/>
      <c r="G59" s="22">
        <v>1</v>
      </c>
      <c r="H59" s="23">
        <f>F59 * G59 * 60.169392</f>
        <v>0</v>
      </c>
      <c r="I59" s="23">
        <f>F59 * G59 * 0</f>
        <v>0</v>
      </c>
      <c r="J59" s="23">
        <f>F59 * G59 * 0</f>
        <v>0</v>
      </c>
      <c r="K59" s="23">
        <f>F59 * G59 * 57.293295</f>
        <v>0</v>
      </c>
      <c r="L59" s="23">
        <f>F59 * G59 * 13.661888</f>
        <v>0</v>
      </c>
      <c r="M59" s="23">
        <f>F59 * G59 * 12.033878</f>
        <v>0</v>
      </c>
      <c r="N59" s="24">
        <f>SUM(H59:M59)</f>
        <v>0</v>
      </c>
      <c r="O59" s="25">
        <f>IF(O3&gt;0,N59/O3/12,0)</f>
        <v>0</v>
      </c>
    </row>
    <row r="60" spans="2:15" s="15" customFormat="1" ht="14.4" x14ac:dyDescent="0.3">
      <c r="B60" s="16"/>
      <c r="C60" s="17" t="s">
        <v>167</v>
      </c>
      <c r="D60" s="32" t="s">
        <v>168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</row>
    <row r="61" spans="2:15" ht="27.6" x14ac:dyDescent="0.3">
      <c r="B61" s="18">
        <v>47</v>
      </c>
      <c r="C61" s="19" t="s">
        <v>169</v>
      </c>
      <c r="D61" s="20" t="s">
        <v>170</v>
      </c>
      <c r="E61" s="20" t="s">
        <v>171</v>
      </c>
      <c r="F61" s="21">
        <v>2</v>
      </c>
      <c r="G61" s="22">
        <v>1</v>
      </c>
      <c r="H61" s="23">
        <f>F61 * G61 * 331.750956</f>
        <v>663.50191199999995</v>
      </c>
      <c r="I61" s="23">
        <f>F61 * G61 * 1648.6942</f>
        <v>3297.3883999999998</v>
      </c>
      <c r="J61" s="23">
        <f>F61 * G61 * 0</f>
        <v>0</v>
      </c>
      <c r="K61" s="23">
        <f>F61 * G61 * 315.89326</f>
        <v>631.78652</v>
      </c>
      <c r="L61" s="23">
        <f>F61 * G61 * 249.263648</f>
        <v>498.52729599999998</v>
      </c>
      <c r="M61" s="23">
        <f>F61 * G61 * 66.350191</f>
        <v>132.70038199999999</v>
      </c>
      <c r="N61" s="24">
        <f>SUM(H61:M61)</f>
        <v>5223.9045099999994</v>
      </c>
      <c r="O61" s="25">
        <f>IF(O3&gt;0,N61/O3/12,0)</f>
        <v>0.1073737453650034</v>
      </c>
    </row>
    <row r="62" spans="2:15" x14ac:dyDescent="0.3">
      <c r="B62" s="18">
        <v>48</v>
      </c>
      <c r="C62" s="19" t="s">
        <v>172</v>
      </c>
      <c r="D62" s="20" t="s">
        <v>173</v>
      </c>
      <c r="E62" s="20" t="s">
        <v>174</v>
      </c>
      <c r="F62" s="21">
        <v>2</v>
      </c>
      <c r="G62" s="22">
        <v>1</v>
      </c>
      <c r="H62" s="23">
        <f>F62 * G62 * 22.153872</f>
        <v>44.307744</v>
      </c>
      <c r="I62" s="23">
        <f>F62 * G62 * 2144.09864</f>
        <v>4288.1972800000003</v>
      </c>
      <c r="J62" s="23">
        <f>F62 * G62 * 0</f>
        <v>0</v>
      </c>
      <c r="K62" s="23">
        <f>F62 * G62 * 21.094917</f>
        <v>42.189833999999998</v>
      </c>
      <c r="L62" s="23">
        <f>F62 * G62 * 231.2326</f>
        <v>462.46519999999998</v>
      </c>
      <c r="M62" s="23">
        <f>F62 * G62 * 4.430774</f>
        <v>8.8615480000000009</v>
      </c>
      <c r="N62" s="24">
        <f>SUM(H62:M62)</f>
        <v>4846.0216059999993</v>
      </c>
      <c r="O62" s="25">
        <f>IF(O3&gt;0,N62/O3/12,0)</f>
        <v>9.9606623543727221E-2</v>
      </c>
    </row>
    <row r="63" spans="2:15" x14ac:dyDescent="0.3">
      <c r="B63" s="18">
        <v>49</v>
      </c>
      <c r="C63" s="19" t="s">
        <v>175</v>
      </c>
      <c r="D63" s="20" t="s">
        <v>176</v>
      </c>
      <c r="E63" s="20" t="s">
        <v>177</v>
      </c>
      <c r="F63" s="21">
        <v>0.03</v>
      </c>
      <c r="G63" s="22">
        <v>1</v>
      </c>
      <c r="H63" s="23">
        <f>F63 * G63 * 55384.68</f>
        <v>1661.5403999999999</v>
      </c>
      <c r="I63" s="23">
        <f>F63 * G63 * 128380.439975</f>
        <v>3851.4131992499997</v>
      </c>
      <c r="J63" s="23">
        <f>F63 * G63 * 0</f>
        <v>0</v>
      </c>
      <c r="K63" s="23">
        <f>F63 * G63 * 52737.292296</f>
        <v>1582.1187688799998</v>
      </c>
      <c r="L63" s="23">
        <f>F63 * G63 * 26119.621242</f>
        <v>783.58863726000004</v>
      </c>
      <c r="M63" s="23">
        <f>F63 * G63 * 11076.936</f>
        <v>332.30807999999996</v>
      </c>
      <c r="N63" s="24">
        <f>SUM(H63:M63)</f>
        <v>8210.9690853899992</v>
      </c>
      <c r="O63" s="25">
        <f>IF(O3&gt;0,N63/O3/12,0)</f>
        <v>0.16877079243827539</v>
      </c>
    </row>
    <row r="64" spans="2:15" x14ac:dyDescent="0.3">
      <c r="B64" s="18">
        <v>50</v>
      </c>
      <c r="C64" s="19" t="s">
        <v>178</v>
      </c>
      <c r="D64" s="20" t="s">
        <v>179</v>
      </c>
      <c r="E64" s="20" t="s">
        <v>180</v>
      </c>
      <c r="F64" s="21">
        <v>2</v>
      </c>
      <c r="G64" s="22">
        <v>1</v>
      </c>
      <c r="H64" s="23">
        <f>F64 * G64 * 52.615446</f>
        <v>105.230892</v>
      </c>
      <c r="I64" s="23">
        <f>F64 * G64 * 62.20356</f>
        <v>124.40712000000001</v>
      </c>
      <c r="J64" s="23">
        <f>F64 * G64 * 0</f>
        <v>0</v>
      </c>
      <c r="K64" s="23">
        <f>F64 * G64 * 50.100428</f>
        <v>100.200856</v>
      </c>
      <c r="L64" s="23">
        <f>F64 * G64 * 18.509187</f>
        <v>37.018374000000001</v>
      </c>
      <c r="M64" s="23">
        <f>F64 * G64 * 10.523089</f>
        <v>21.046178000000001</v>
      </c>
      <c r="N64" s="24">
        <f>SUM(H64:M64)</f>
        <v>387.90341999999998</v>
      </c>
      <c r="O64" s="25">
        <f>IF(O3&gt;0,N64/O3/12,0)</f>
        <v>7.9730865994129679E-3</v>
      </c>
    </row>
    <row r="65" spans="2:15" ht="27.6" x14ac:dyDescent="0.3">
      <c r="B65" s="18">
        <v>51</v>
      </c>
      <c r="C65" s="19" t="s">
        <v>181</v>
      </c>
      <c r="D65" s="20" t="s">
        <v>182</v>
      </c>
      <c r="E65" s="20" t="s">
        <v>183</v>
      </c>
      <c r="F65" s="21">
        <v>2</v>
      </c>
      <c r="G65" s="22">
        <v>1</v>
      </c>
      <c r="H65" s="23">
        <f>F65 * G65 * 278.858587</f>
        <v>557.717174</v>
      </c>
      <c r="I65" s="23">
        <f>F65 * G65 * 1088.06144</f>
        <v>2176.1228799999999</v>
      </c>
      <c r="J65" s="23">
        <f>F65 * G65 * 0</f>
        <v>0</v>
      </c>
      <c r="K65" s="23">
        <f>F65 * G65 * 265.529146999999</f>
        <v>531.058293999998</v>
      </c>
      <c r="L65" s="23">
        <f>F65 * G65 * 178.107304</f>
        <v>356.214608</v>
      </c>
      <c r="M65" s="23">
        <f>F65 * G65 * 55.771717</f>
        <v>111.543434</v>
      </c>
      <c r="N65" s="24">
        <f>SUM(H65:M65)</f>
        <v>3732.6563899999983</v>
      </c>
      <c r="O65" s="25">
        <f>IF(O3&gt;0,N65/O3/12,0)</f>
        <v>7.6722171316051233E-2</v>
      </c>
    </row>
    <row r="66" spans="2:15" s="15" customFormat="1" ht="14.4" x14ac:dyDescent="0.3">
      <c r="B66" s="16"/>
      <c r="C66" s="17" t="s">
        <v>184</v>
      </c>
      <c r="D66" s="32" t="s">
        <v>185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</row>
    <row r="67" spans="2:15" ht="27.6" x14ac:dyDescent="0.3">
      <c r="B67" s="18">
        <v>52</v>
      </c>
      <c r="C67" s="19" t="s">
        <v>186</v>
      </c>
      <c r="D67" s="20" t="s">
        <v>187</v>
      </c>
      <c r="E67" s="20" t="s">
        <v>188</v>
      </c>
      <c r="F67" s="21">
        <v>4.0540000000000003</v>
      </c>
      <c r="G67" s="22">
        <v>1</v>
      </c>
      <c r="H67" s="23">
        <f>F67 * G67 * 6447.23556</f>
        <v>26137.092960240003</v>
      </c>
      <c r="I67" s="23">
        <f>F67 * G67 * 6822.7517</f>
        <v>27659.435391800002</v>
      </c>
      <c r="J67" s="23">
        <f t="shared" ref="J67:J90" si="7">F67 * G67 * 0</f>
        <v>0</v>
      </c>
      <c r="K67" s="23">
        <f>F67 * G67 * 6139.05769999999</f>
        <v>24887.739915799961</v>
      </c>
      <c r="L67" s="23">
        <f>F67 * G67 * 2183.690913</f>
        <v>8852.682961302</v>
      </c>
      <c r="M67" s="23">
        <f>F67 * G67 * 1289.447112</f>
        <v>5227.4185920480004</v>
      </c>
      <c r="N67" s="24">
        <f t="shared" ref="N67:N90" si="8">SUM(H67:M67)</f>
        <v>92764.369821189961</v>
      </c>
      <c r="O67" s="25">
        <f>IF(O3&gt;0,N67/O3/12,0)</f>
        <v>1.9067074838482181</v>
      </c>
    </row>
    <row r="68" spans="2:15" ht="27.6" x14ac:dyDescent="0.3">
      <c r="B68" s="18">
        <v>53</v>
      </c>
      <c r="C68" s="19" t="s">
        <v>189</v>
      </c>
      <c r="D68" s="20" t="s">
        <v>190</v>
      </c>
      <c r="E68" s="20" t="s">
        <v>188</v>
      </c>
      <c r="F68" s="21">
        <v>4.0540000000000003</v>
      </c>
      <c r="G68" s="22">
        <v>2</v>
      </c>
      <c r="H68" s="23">
        <f>F68 * G68 * 108.000126</f>
        <v>875.66502160799996</v>
      </c>
      <c r="I68" s="23">
        <f>F68 * G68 * 0</f>
        <v>0</v>
      </c>
      <c r="J68" s="23">
        <f t="shared" si="7"/>
        <v>0</v>
      </c>
      <c r="K68" s="23">
        <f>F68 * G68 * 102.837719999999</f>
        <v>833.80823375999194</v>
      </c>
      <c r="L68" s="23">
        <f>F68 * G68 * 24.522195</f>
        <v>198.82595706000001</v>
      </c>
      <c r="M68" s="23">
        <f>F68 * G68 * 21.600025</f>
        <v>175.13300269999999</v>
      </c>
      <c r="N68" s="24">
        <f t="shared" si="8"/>
        <v>2083.4322151279921</v>
      </c>
      <c r="O68" s="25">
        <f>IF(O3&gt;0,N68/O3/12,0)</f>
        <v>4.2823508684770743E-2</v>
      </c>
    </row>
    <row r="69" spans="2:15" ht="27.6" x14ac:dyDescent="0.3">
      <c r="B69" s="18">
        <v>54</v>
      </c>
      <c r="C69" s="19" t="s">
        <v>191</v>
      </c>
      <c r="D69" s="20" t="s">
        <v>192</v>
      </c>
      <c r="E69" s="20" t="s">
        <v>188</v>
      </c>
      <c r="F69" s="21">
        <v>4.0540000000000003</v>
      </c>
      <c r="G69" s="22">
        <v>2</v>
      </c>
      <c r="H69" s="23">
        <f>F69 * G69 * 861.231774</f>
        <v>6982.8672235920003</v>
      </c>
      <c r="I69" s="23">
        <f>F69 * G69 * 0</f>
        <v>0</v>
      </c>
      <c r="J69" s="23">
        <f t="shared" si="7"/>
        <v>0</v>
      </c>
      <c r="K69" s="23">
        <f>F69 * G69 * 820.064895</f>
        <v>6649.0861686600001</v>
      </c>
      <c r="L69" s="23">
        <f>F69 * G69 * 195.548789</f>
        <v>1585.5095812120001</v>
      </c>
      <c r="M69" s="23">
        <f>F69 * G69 * 172.246355</f>
        <v>1396.5734463400001</v>
      </c>
      <c r="N69" s="24">
        <f t="shared" si="8"/>
        <v>16614.036419804001</v>
      </c>
      <c r="O69" s="25">
        <f>IF(O3&gt;0,N69/O3/12,0)</f>
        <v>0.34149003156738938</v>
      </c>
    </row>
    <row r="70" spans="2:15" ht="27.6" x14ac:dyDescent="0.3">
      <c r="B70" s="18">
        <v>55</v>
      </c>
      <c r="C70" s="19" t="s">
        <v>193</v>
      </c>
      <c r="D70" s="20" t="s">
        <v>194</v>
      </c>
      <c r="E70" s="20" t="s">
        <v>188</v>
      </c>
      <c r="F70" s="21">
        <v>4.0540000000000003</v>
      </c>
      <c r="G70" s="22">
        <v>2</v>
      </c>
      <c r="H70" s="23">
        <f>F70 * G70 * 428.772462</f>
        <v>3476.4871218960002</v>
      </c>
      <c r="I70" s="23">
        <f>F70 * G70 * 0</f>
        <v>0</v>
      </c>
      <c r="J70" s="23">
        <f t="shared" si="7"/>
        <v>0</v>
      </c>
      <c r="K70" s="23">
        <f>F70 * G70 * 408.277138</f>
        <v>3310.3110349040003</v>
      </c>
      <c r="L70" s="23">
        <f>F70 * G70 * 97.355831</f>
        <v>789.36107774799996</v>
      </c>
      <c r="M70" s="23">
        <f>F70 * G70 * 85.754492</f>
        <v>695.29742113600003</v>
      </c>
      <c r="N70" s="24">
        <f t="shared" si="8"/>
        <v>8271.456655684</v>
      </c>
      <c r="O70" s="25">
        <f>IF(O3&gt;0,N70/O3/12,0)</f>
        <v>0.17001407262420967</v>
      </c>
    </row>
    <row r="71" spans="2:15" ht="27.6" x14ac:dyDescent="0.3">
      <c r="B71" s="18">
        <v>56</v>
      </c>
      <c r="C71" s="19" t="s">
        <v>195</v>
      </c>
      <c r="D71" s="20" t="s">
        <v>196</v>
      </c>
      <c r="E71" s="20" t="s">
        <v>188</v>
      </c>
      <c r="F71" s="21">
        <v>4.0540000000000003</v>
      </c>
      <c r="G71" s="22">
        <v>2</v>
      </c>
      <c r="H71" s="23">
        <f>F71 * G71 * 1251.8904</f>
        <v>10150.3273632</v>
      </c>
      <c r="I71" s="23">
        <f>F71 * G71 * 0</f>
        <v>0</v>
      </c>
      <c r="J71" s="23">
        <f t="shared" si="7"/>
        <v>0</v>
      </c>
      <c r="K71" s="23">
        <f>F71 * G71 * 1192.050039</f>
        <v>9665.1417162119997</v>
      </c>
      <c r="L71" s="23">
        <f>F71 * G71 * 284.250604</f>
        <v>2304.7038972320001</v>
      </c>
      <c r="M71" s="23">
        <f>F71 * G71 * 250.37808</f>
        <v>2030.0654726400003</v>
      </c>
      <c r="N71" s="24">
        <f t="shared" si="8"/>
        <v>24150.238449283999</v>
      </c>
      <c r="O71" s="25">
        <f>IF(O3&gt;0,N71/O3/12,0)</f>
        <v>0.49639145370931276</v>
      </c>
    </row>
    <row r="72" spans="2:15" ht="27.6" x14ac:dyDescent="0.3">
      <c r="B72" s="18">
        <v>57</v>
      </c>
      <c r="C72" s="19" t="s">
        <v>197</v>
      </c>
      <c r="D72" s="20" t="s">
        <v>198</v>
      </c>
      <c r="E72" s="20" t="s">
        <v>199</v>
      </c>
      <c r="F72" s="21">
        <v>1.1100000000000001</v>
      </c>
      <c r="G72" s="22">
        <v>2</v>
      </c>
      <c r="H72" s="23">
        <f>F72 * G72 * 18778.356</f>
        <v>41687.950320000004</v>
      </c>
      <c r="I72" s="23">
        <f>F72 * G72 * 0</f>
        <v>0</v>
      </c>
      <c r="J72" s="23">
        <f t="shared" si="7"/>
        <v>0</v>
      </c>
      <c r="K72" s="23">
        <f>F72 * G72 * 17880.750583</f>
        <v>39695.266294260007</v>
      </c>
      <c r="L72" s="23">
        <f>F72 * G72 * 4263.759056</f>
        <v>9465.545104320001</v>
      </c>
      <c r="M72" s="23">
        <f>F72 * G72 * 3755.6712</f>
        <v>8337.5900640000018</v>
      </c>
      <c r="N72" s="24">
        <f t="shared" si="8"/>
        <v>99186.351782580023</v>
      </c>
      <c r="O72" s="25">
        <f>IF(O3&gt;0,N72/O3/12,0)</f>
        <v>2.0387068828688064</v>
      </c>
    </row>
    <row r="73" spans="2:15" ht="41.4" x14ac:dyDescent="0.3">
      <c r="B73" s="18">
        <v>58</v>
      </c>
      <c r="C73" s="19" t="s">
        <v>200</v>
      </c>
      <c r="D73" s="20" t="s">
        <v>201</v>
      </c>
      <c r="E73" s="20" t="s">
        <v>202</v>
      </c>
      <c r="F73" s="21">
        <v>0.5</v>
      </c>
      <c r="G73" s="22">
        <v>1</v>
      </c>
      <c r="H73" s="23">
        <f>F73 * G73 * 9063.9159</f>
        <v>4531.95795</v>
      </c>
      <c r="I73" s="23">
        <f>F73 * G73 * 1272.67587</f>
        <v>636.33793500000002</v>
      </c>
      <c r="J73" s="23">
        <f t="shared" si="7"/>
        <v>0</v>
      </c>
      <c r="K73" s="23">
        <f>F73 * G73 * 8630.66072</f>
        <v>4315.3303599999999</v>
      </c>
      <c r="L73" s="23">
        <f>F73 * G73 * 2192.29376299999</f>
        <v>1096.1468814999951</v>
      </c>
      <c r="M73" s="23">
        <f>F73 * G73 * 1812.78318</f>
        <v>906.39158999999995</v>
      </c>
      <c r="N73" s="24">
        <f t="shared" si="8"/>
        <v>11486.164716499994</v>
      </c>
      <c r="O73" s="25">
        <f>IF(O3&gt;0,N73/O3/12,0)</f>
        <v>0.23609017414637942</v>
      </c>
    </row>
    <row r="74" spans="2:15" ht="27.6" x14ac:dyDescent="0.3">
      <c r="B74" s="18">
        <v>59</v>
      </c>
      <c r="C74" s="19" t="s">
        <v>203</v>
      </c>
      <c r="D74" s="20" t="s">
        <v>204</v>
      </c>
      <c r="E74" s="20" t="s">
        <v>188</v>
      </c>
      <c r="F74" s="21">
        <v>4.0540000000000003</v>
      </c>
      <c r="G74" s="22">
        <v>2</v>
      </c>
      <c r="H74" s="23">
        <f>F74 * G74 * 1163.07828</f>
        <v>9430.2386942400008</v>
      </c>
      <c r="I74" s="23">
        <f>F74 * G74 * 0</f>
        <v>0</v>
      </c>
      <c r="J74" s="23">
        <f t="shared" si="7"/>
        <v>0</v>
      </c>
      <c r="K74" s="23">
        <f>F74 * G74 * 1107.483138</f>
        <v>8979.4732829040004</v>
      </c>
      <c r="L74" s="23">
        <f>F74 * G74 * 264.085181</f>
        <v>2141.2026475479997</v>
      </c>
      <c r="M74" s="23">
        <f>F74 * G74 * 232.615656</f>
        <v>1886.0477388480001</v>
      </c>
      <c r="N74" s="24">
        <f t="shared" si="8"/>
        <v>22436.962363539998</v>
      </c>
      <c r="O74" s="25">
        <f>IF(O3&gt;0,N74/O3/12,0)</f>
        <v>0.46117624833592313</v>
      </c>
    </row>
    <row r="75" spans="2:15" ht="27.6" x14ac:dyDescent="0.3">
      <c r="B75" s="18">
        <v>60</v>
      </c>
      <c r="C75" s="19" t="s">
        <v>205</v>
      </c>
      <c r="D75" s="20" t="s">
        <v>206</v>
      </c>
      <c r="E75" s="20" t="s">
        <v>188</v>
      </c>
      <c r="F75" s="21">
        <v>4.0540000000000003</v>
      </c>
      <c r="G75" s="22">
        <v>3</v>
      </c>
      <c r="H75" s="23">
        <f>F75 * G75 * 1163.07828</f>
        <v>14145.358041360001</v>
      </c>
      <c r="I75" s="23">
        <f>F75 * G75 * 0</f>
        <v>0</v>
      </c>
      <c r="J75" s="23">
        <f t="shared" si="7"/>
        <v>0</v>
      </c>
      <c r="K75" s="23">
        <f>F75 * G75 * 1107.483138</f>
        <v>13469.209924356002</v>
      </c>
      <c r="L75" s="23">
        <f>F75 * G75 * 264.085181</f>
        <v>3211.8039713220001</v>
      </c>
      <c r="M75" s="23">
        <f>F75 * G75 * 232.615656</f>
        <v>2829.071608272</v>
      </c>
      <c r="N75" s="24">
        <f t="shared" si="8"/>
        <v>33655.443545310001</v>
      </c>
      <c r="O75" s="25">
        <f>IF(O3&gt;0,N75/O3/12,0)</f>
        <v>0.69176437250388478</v>
      </c>
    </row>
    <row r="76" spans="2:15" ht="27.6" x14ac:dyDescent="0.3">
      <c r="B76" s="18">
        <v>61</v>
      </c>
      <c r="C76" s="19" t="s">
        <v>207</v>
      </c>
      <c r="D76" s="20" t="s">
        <v>208</v>
      </c>
      <c r="E76" s="20" t="s">
        <v>188</v>
      </c>
      <c r="F76" s="21">
        <v>4.0540000000000003</v>
      </c>
      <c r="G76" s="22">
        <v>1</v>
      </c>
      <c r="H76" s="23">
        <f>F76 * G76 * 3129.726</f>
        <v>12687.909204000001</v>
      </c>
      <c r="I76" s="23">
        <f>F76 * G76 * 0</f>
        <v>0</v>
      </c>
      <c r="J76" s="23">
        <f t="shared" si="7"/>
        <v>0</v>
      </c>
      <c r="K76" s="23">
        <f>F76 * G76 * 2980.125097</f>
        <v>12081.427143238001</v>
      </c>
      <c r="L76" s="23">
        <f>F76 * G76 * 710.626509</f>
        <v>2880.8798674860004</v>
      </c>
      <c r="M76" s="23">
        <f>F76 * G76 * 625.9452</f>
        <v>2537.5818408</v>
      </c>
      <c r="N76" s="24">
        <f t="shared" si="8"/>
        <v>30187.798055524003</v>
      </c>
      <c r="O76" s="25">
        <f>IF(O3&gt;0,N76/O3/12,0)</f>
        <v>0.62048931701165022</v>
      </c>
    </row>
    <row r="77" spans="2:15" ht="41.4" x14ac:dyDescent="0.3">
      <c r="B77" s="18">
        <v>62</v>
      </c>
      <c r="C77" s="19" t="s">
        <v>209</v>
      </c>
      <c r="D77" s="20" t="s">
        <v>210</v>
      </c>
      <c r="E77" s="20" t="s">
        <v>211</v>
      </c>
      <c r="F77" s="21">
        <v>2.5540000000000003</v>
      </c>
      <c r="G77" s="22">
        <v>1</v>
      </c>
      <c r="H77" s="23">
        <f>F77 * G77 * 1251.8904</f>
        <v>3197.3280816000001</v>
      </c>
      <c r="I77" s="23">
        <f>F77 * G77 * 0</f>
        <v>0</v>
      </c>
      <c r="J77" s="23">
        <f t="shared" si="7"/>
        <v>0</v>
      </c>
      <c r="K77" s="23">
        <f>F77 * G77 * 1192.050039</f>
        <v>3044.4957996060002</v>
      </c>
      <c r="L77" s="23">
        <f>F77 * G77 * 284.250604</f>
        <v>725.97604261600009</v>
      </c>
      <c r="M77" s="23">
        <f>F77 * G77 * 250.37808</f>
        <v>639.46561632000009</v>
      </c>
      <c r="N77" s="24">
        <f t="shared" si="8"/>
        <v>7607.2655401420006</v>
      </c>
      <c r="O77" s="25">
        <f>IF(O3&gt;0,N77/O3/12,0)</f>
        <v>0.15636208346985506</v>
      </c>
    </row>
    <row r="78" spans="2:15" x14ac:dyDescent="0.3">
      <c r="B78" s="18">
        <v>63</v>
      </c>
      <c r="C78" s="19" t="s">
        <v>212</v>
      </c>
      <c r="D78" s="20" t="s">
        <v>213</v>
      </c>
      <c r="E78" s="20" t="s">
        <v>214</v>
      </c>
      <c r="F78" s="21">
        <v>1</v>
      </c>
      <c r="G78" s="22">
        <v>1</v>
      </c>
      <c r="H78" s="23">
        <f>F78 * G78 * 1107.6936</f>
        <v>1107.6936000000001</v>
      </c>
      <c r="I78" s="23">
        <f>F78 * G78 * 0</f>
        <v>0</v>
      </c>
      <c r="J78" s="23">
        <f t="shared" si="7"/>
        <v>0</v>
      </c>
      <c r="K78" s="23">
        <f>F78 * G78 * 1054.745846</f>
        <v>1054.745846</v>
      </c>
      <c r="L78" s="23">
        <f>F78 * G78 * 251.509697</f>
        <v>251.50969699999999</v>
      </c>
      <c r="M78" s="23">
        <f>F78 * G78 * 221.53872</f>
        <v>221.53872000000001</v>
      </c>
      <c r="N78" s="24">
        <f t="shared" si="8"/>
        <v>2635.4878630000003</v>
      </c>
      <c r="O78" s="25">
        <f>IF(O3&gt;0,N78/O3/12,0)</f>
        <v>5.4170630832285072E-2</v>
      </c>
    </row>
    <row r="79" spans="2:15" ht="27.6" x14ac:dyDescent="0.3">
      <c r="B79" s="18">
        <v>64</v>
      </c>
      <c r="C79" s="19" t="s">
        <v>215</v>
      </c>
      <c r="D79" s="20" t="s">
        <v>216</v>
      </c>
      <c r="E79" s="20" t="s">
        <v>107</v>
      </c>
      <c r="F79" s="21">
        <v>2</v>
      </c>
      <c r="G79" s="22">
        <v>1</v>
      </c>
      <c r="H79" s="23">
        <f>F79 * G79 * 1061.599782</f>
        <v>2123.199564</v>
      </c>
      <c r="I79" s="23">
        <f>F79 * G79 * 9.279315</f>
        <v>18.558630000000001</v>
      </c>
      <c r="J79" s="23">
        <f t="shared" si="7"/>
        <v>0</v>
      </c>
      <c r="K79" s="23">
        <f>F79 * G79 * 1010.85531199999</f>
        <v>2021.71062399998</v>
      </c>
      <c r="L79" s="23">
        <f>F79 * G79 * 242.022735999999</f>
        <v>484.04547199999797</v>
      </c>
      <c r="M79" s="23">
        <f>F79 * G79 * 212.319956</f>
        <v>424.63991199999998</v>
      </c>
      <c r="N79" s="24">
        <f t="shared" si="8"/>
        <v>5072.1542019999779</v>
      </c>
      <c r="O79" s="25">
        <f>IF(O3&gt;0,N79/O3/12,0)</f>
        <v>0.10425462270511099</v>
      </c>
    </row>
    <row r="80" spans="2:15" ht="27.6" x14ac:dyDescent="0.3">
      <c r="B80" s="18">
        <v>65</v>
      </c>
      <c r="C80" s="19" t="s">
        <v>217</v>
      </c>
      <c r="D80" s="20" t="s">
        <v>218</v>
      </c>
      <c r="E80" s="20" t="s">
        <v>219</v>
      </c>
      <c r="F80" s="21">
        <v>128.52000000000001</v>
      </c>
      <c r="G80" s="22">
        <v>1</v>
      </c>
      <c r="H80" s="23">
        <f>F80 * G80 * 256.60476</f>
        <v>32978.843755200003</v>
      </c>
      <c r="I80" s="23">
        <f>F80 * G80 * 7.007926</f>
        <v>900.65864952000015</v>
      </c>
      <c r="J80" s="23">
        <f t="shared" si="7"/>
        <v>0</v>
      </c>
      <c r="K80" s="23">
        <f>F80 * G80 * 244.339051999999</f>
        <v>31402.454963039872</v>
      </c>
      <c r="L80" s="23">
        <f>F80 * G80 * 59.003268</f>
        <v>7583.1000033600003</v>
      </c>
      <c r="M80" s="23">
        <f>F80 * G80 * 51.320952</f>
        <v>6595.7687510400001</v>
      </c>
      <c r="N80" s="24">
        <f t="shared" si="8"/>
        <v>79460.82612215988</v>
      </c>
      <c r="O80" s="25">
        <f>IF(O3&gt;0,N80/O3/12,0)</f>
        <v>1.6332623412623608</v>
      </c>
    </row>
    <row r="81" spans="2:15" x14ac:dyDescent="0.3">
      <c r="B81" s="18">
        <v>66</v>
      </c>
      <c r="C81" s="19" t="s">
        <v>220</v>
      </c>
      <c r="D81" s="20" t="s">
        <v>221</v>
      </c>
      <c r="E81" s="20" t="s">
        <v>222</v>
      </c>
      <c r="F81" s="21">
        <v>0.1</v>
      </c>
      <c r="G81" s="22">
        <v>1</v>
      </c>
      <c r="H81" s="23">
        <f>F81 * G81 * 9702.1506</f>
        <v>970.21506000000011</v>
      </c>
      <c r="I81" s="23">
        <f>F81 * G81 * 654.56148</f>
        <v>65.456147999999999</v>
      </c>
      <c r="J81" s="23">
        <f t="shared" si="7"/>
        <v>0</v>
      </c>
      <c r="K81" s="23">
        <f>F81 * G81 * 9238.387801</f>
        <v>923.83878010000012</v>
      </c>
      <c r="L81" s="23">
        <f>F81 * G81 * 2271.998415</f>
        <v>227.19984150000002</v>
      </c>
      <c r="M81" s="23">
        <f>F81 * G81 * 1940.43012</f>
        <v>194.043012</v>
      </c>
      <c r="N81" s="24">
        <f t="shared" si="8"/>
        <v>2380.7528416000005</v>
      </c>
      <c r="O81" s="25">
        <f>IF(O3&gt;0,N81/O3/12,0)</f>
        <v>4.8934728592687604E-2</v>
      </c>
    </row>
    <row r="82" spans="2:15" ht="27.6" x14ac:dyDescent="0.3">
      <c r="B82" s="18">
        <v>67</v>
      </c>
      <c r="C82" s="19" t="s">
        <v>223</v>
      </c>
      <c r="D82" s="20" t="s">
        <v>224</v>
      </c>
      <c r="E82" s="20" t="s">
        <v>225</v>
      </c>
      <c r="F82" s="21">
        <v>0.1</v>
      </c>
      <c r="G82" s="22">
        <v>1</v>
      </c>
      <c r="H82" s="23">
        <f>F82 * G82 * 15507.7104</f>
        <v>1550.7710400000001</v>
      </c>
      <c r="I82" s="23">
        <f t="shared" ref="I82:I90" si="9">F82 * G82 * 0</f>
        <v>0</v>
      </c>
      <c r="J82" s="23">
        <f t="shared" si="7"/>
        <v>0</v>
      </c>
      <c r="K82" s="23">
        <f>F82 * G82 * 14766.441843</f>
        <v>1476.6441843000002</v>
      </c>
      <c r="L82" s="23">
        <f>F82 * G82 * 3521.135751</f>
        <v>352.11357509999999</v>
      </c>
      <c r="M82" s="23">
        <f>F82 * G82 * 3101.54208</f>
        <v>310.15420800000004</v>
      </c>
      <c r="N82" s="24">
        <f t="shared" si="8"/>
        <v>3689.6830074000004</v>
      </c>
      <c r="O82" s="25">
        <f>IF(O3&gt;0,N82/O3/12,0)</f>
        <v>7.5838883148755643E-2</v>
      </c>
    </row>
    <row r="83" spans="2:15" ht="27.6" x14ac:dyDescent="0.3">
      <c r="B83" s="18">
        <v>68</v>
      </c>
      <c r="C83" s="19" t="s">
        <v>226</v>
      </c>
      <c r="D83" s="20" t="s">
        <v>227</v>
      </c>
      <c r="E83" s="20" t="s">
        <v>228</v>
      </c>
      <c r="F83" s="21">
        <v>3</v>
      </c>
      <c r="G83" s="22">
        <v>12</v>
      </c>
      <c r="H83" s="23">
        <f>F83 * G83 * 50.075616</f>
        <v>1802.7221759999998</v>
      </c>
      <c r="I83" s="23">
        <f t="shared" si="9"/>
        <v>0</v>
      </c>
      <c r="J83" s="23">
        <f t="shared" si="7"/>
        <v>0</v>
      </c>
      <c r="K83" s="23">
        <f>F83 * G83 * 47.682001</f>
        <v>1716.552036</v>
      </c>
      <c r="L83" s="23">
        <f>F83 * G83 * 11.370024</f>
        <v>409.32086400000003</v>
      </c>
      <c r="M83" s="23">
        <f>F83 * G83 * 10.015123</f>
        <v>360.54442800000004</v>
      </c>
      <c r="N83" s="24">
        <f t="shared" si="8"/>
        <v>4289.1395039999998</v>
      </c>
      <c r="O83" s="25">
        <f>IF(O3&gt;0,N83/O3/12,0)</f>
        <v>8.8160296968650562E-2</v>
      </c>
    </row>
    <row r="84" spans="2:15" ht="27.6" x14ac:dyDescent="0.3">
      <c r="B84" s="18">
        <v>69</v>
      </c>
      <c r="C84" s="19" t="s">
        <v>229</v>
      </c>
      <c r="D84" s="20" t="s">
        <v>230</v>
      </c>
      <c r="E84" s="20" t="s">
        <v>228</v>
      </c>
      <c r="F84" s="21">
        <v>3</v>
      </c>
      <c r="G84" s="22">
        <v>12</v>
      </c>
      <c r="H84" s="23">
        <f>F84 * G84 * 27.69234</f>
        <v>996.92424000000005</v>
      </c>
      <c r="I84" s="23">
        <f t="shared" si="9"/>
        <v>0</v>
      </c>
      <c r="J84" s="23">
        <f t="shared" si="7"/>
        <v>0</v>
      </c>
      <c r="K84" s="23">
        <f>F84 * G84 * 26.368646</f>
        <v>949.27125599999999</v>
      </c>
      <c r="L84" s="23">
        <f>F84 * G84 * 6.287742</f>
        <v>226.358712</v>
      </c>
      <c r="M84" s="23">
        <f>F84 * G84 * 5.538468</f>
        <v>199.38484800000001</v>
      </c>
      <c r="N84" s="24">
        <f t="shared" si="8"/>
        <v>2371.9390560000002</v>
      </c>
      <c r="O84" s="25">
        <f>IF(O3&gt;0,N84/O3/12,0)</f>
        <v>4.8753567323582374E-2</v>
      </c>
    </row>
    <row r="85" spans="2:15" ht="41.4" x14ac:dyDescent="0.3">
      <c r="B85" s="18">
        <v>70</v>
      </c>
      <c r="C85" s="19" t="s">
        <v>231</v>
      </c>
      <c r="D85" s="20" t="s">
        <v>232</v>
      </c>
      <c r="E85" s="20" t="s">
        <v>233</v>
      </c>
      <c r="F85" s="21">
        <v>3</v>
      </c>
      <c r="G85" s="22">
        <v>12</v>
      </c>
      <c r="H85" s="23">
        <f>F85 * G85 * 238.154124</f>
        <v>8573.5484639999995</v>
      </c>
      <c r="I85" s="23">
        <f t="shared" si="9"/>
        <v>0</v>
      </c>
      <c r="J85" s="23">
        <f t="shared" si="7"/>
        <v>0</v>
      </c>
      <c r="K85" s="23">
        <f>F85 * G85 * 226.770357</f>
        <v>8163.7328519999992</v>
      </c>
      <c r="L85" s="23">
        <f>F85 * G85 * 54.074585</f>
        <v>1946.68506</v>
      </c>
      <c r="M85" s="23">
        <f>F85 * G85 * 47.630825</f>
        <v>1714.7097000000001</v>
      </c>
      <c r="N85" s="24">
        <f t="shared" si="8"/>
        <v>20398.676076</v>
      </c>
      <c r="O85" s="25">
        <f>IF(O3&gt;0,N85/O3/12,0)</f>
        <v>0.41928068297856597</v>
      </c>
    </row>
    <row r="86" spans="2:15" ht="41.4" x14ac:dyDescent="0.3">
      <c r="B86" s="18">
        <v>71</v>
      </c>
      <c r="C86" s="19" t="s">
        <v>234</v>
      </c>
      <c r="D86" s="20" t="s">
        <v>235</v>
      </c>
      <c r="E86" s="20" t="s">
        <v>236</v>
      </c>
      <c r="F86" s="21">
        <v>1</v>
      </c>
      <c r="G86" s="22">
        <v>2</v>
      </c>
      <c r="H86" s="23">
        <f>F86 * G86 * 225.340272</f>
        <v>450.680544</v>
      </c>
      <c r="I86" s="23">
        <f t="shared" si="9"/>
        <v>0</v>
      </c>
      <c r="J86" s="23">
        <f t="shared" si="7"/>
        <v>0</v>
      </c>
      <c r="K86" s="23">
        <f>F86 * G86 * 214.569007</f>
        <v>429.138014</v>
      </c>
      <c r="L86" s="23">
        <f>F86 * G86 * 51.165109</f>
        <v>102.330218</v>
      </c>
      <c r="M86" s="23">
        <f>F86 * G86 * 45.068054</f>
        <v>90.136107999999993</v>
      </c>
      <c r="N86" s="24">
        <f t="shared" si="8"/>
        <v>1072.2848839999999</v>
      </c>
      <c r="O86" s="25">
        <f>IF(O3&gt;0,N86/O3/12,0)</f>
        <v>2.204007440659711E-2</v>
      </c>
    </row>
    <row r="87" spans="2:15" ht="41.4" x14ac:dyDescent="0.3">
      <c r="B87" s="18">
        <v>72</v>
      </c>
      <c r="C87" s="19" t="s">
        <v>237</v>
      </c>
      <c r="D87" s="20" t="s">
        <v>238</v>
      </c>
      <c r="E87" s="20" t="s">
        <v>236</v>
      </c>
      <c r="F87" s="21">
        <v>1</v>
      </c>
      <c r="G87" s="22">
        <v>0.3</v>
      </c>
      <c r="H87" s="23">
        <f>F87 * G87 * 371.63448</f>
        <v>111.49034399999999</v>
      </c>
      <c r="I87" s="23">
        <f t="shared" si="9"/>
        <v>0</v>
      </c>
      <c r="J87" s="23">
        <f t="shared" si="7"/>
        <v>0</v>
      </c>
      <c r="K87" s="23">
        <f>F87 * G87 * 353.870352</f>
        <v>106.1611056</v>
      </c>
      <c r="L87" s="23">
        <f>F87 * G87 * 84.382248</f>
        <v>25.314674400000001</v>
      </c>
      <c r="M87" s="23">
        <f>F87 * G87 * 74.326896</f>
        <v>22.298068799999999</v>
      </c>
      <c r="N87" s="24">
        <f t="shared" si="8"/>
        <v>265.26419279999999</v>
      </c>
      <c r="O87" s="25">
        <f>IF(O3&gt;0,N87/O3/12,0)</f>
        <v>5.4523220777939465E-3</v>
      </c>
    </row>
    <row r="88" spans="2:15" ht="41.4" x14ac:dyDescent="0.3">
      <c r="B88" s="18">
        <v>73</v>
      </c>
      <c r="C88" s="19" t="s">
        <v>239</v>
      </c>
      <c r="D88" s="20" t="s">
        <v>240</v>
      </c>
      <c r="E88" s="20" t="s">
        <v>236</v>
      </c>
      <c r="F88" s="21">
        <v>3</v>
      </c>
      <c r="G88" s="22">
        <v>12</v>
      </c>
      <c r="H88" s="23">
        <f>F88 * G88 * 542.70432</f>
        <v>19537.355520000001</v>
      </c>
      <c r="I88" s="23">
        <f t="shared" si="9"/>
        <v>0</v>
      </c>
      <c r="J88" s="23">
        <f t="shared" si="7"/>
        <v>0</v>
      </c>
      <c r="K88" s="23">
        <f>F88 * G88 * 516.763054</f>
        <v>18603.469944</v>
      </c>
      <c r="L88" s="23">
        <f>F88 * G88 * 123.224869</f>
        <v>4436.095284</v>
      </c>
      <c r="M88" s="23">
        <f>F88 * G88 * 108.540864</f>
        <v>3907.4711040000002</v>
      </c>
      <c r="N88" s="24">
        <f t="shared" si="8"/>
        <v>46484.391852000001</v>
      </c>
      <c r="O88" s="25">
        <f>IF(O3&gt;0,N88/O3/12,0)</f>
        <v>0.95545453493821375</v>
      </c>
    </row>
    <row r="89" spans="2:15" ht="27.6" x14ac:dyDescent="0.3">
      <c r="B89" s="18">
        <v>74</v>
      </c>
      <c r="C89" s="19" t="s">
        <v>241</v>
      </c>
      <c r="D89" s="20" t="s">
        <v>242</v>
      </c>
      <c r="E89" s="20" t="s">
        <v>121</v>
      </c>
      <c r="F89" s="21">
        <v>1</v>
      </c>
      <c r="G89" s="22">
        <v>0.3</v>
      </c>
      <c r="H89" s="23">
        <f>F89 * G89 * 995.252868</f>
        <v>298.57586040000001</v>
      </c>
      <c r="I89" s="23">
        <f t="shared" si="9"/>
        <v>0</v>
      </c>
      <c r="J89" s="23">
        <f t="shared" si="7"/>
        <v>0</v>
      </c>
      <c r="K89" s="23">
        <f>F89 * G89 * 947.679781</f>
        <v>284.30393429999998</v>
      </c>
      <c r="L89" s="23">
        <f>F89 * G89 * 225.97923</f>
        <v>67.793768999999998</v>
      </c>
      <c r="M89" s="23">
        <f>F89 * G89 * 199.050574</f>
        <v>59.715172199999998</v>
      </c>
      <c r="N89" s="24">
        <f t="shared" si="8"/>
        <v>710.38873590000003</v>
      </c>
      <c r="O89" s="25">
        <f>IF(O3&gt;0,N89/O3/12,0)</f>
        <v>1.4601549299509164E-2</v>
      </c>
    </row>
    <row r="90" spans="2:15" ht="27.6" x14ac:dyDescent="0.3">
      <c r="B90" s="18">
        <v>75</v>
      </c>
      <c r="C90" s="19" t="s">
        <v>243</v>
      </c>
      <c r="D90" s="20" t="s">
        <v>244</v>
      </c>
      <c r="E90" s="20" t="s">
        <v>121</v>
      </c>
      <c r="F90" s="21">
        <v>1</v>
      </c>
      <c r="G90" s="22">
        <v>0.3</v>
      </c>
      <c r="H90" s="23">
        <f>F90 * G90 * 995.252868</f>
        <v>298.57586040000001</v>
      </c>
      <c r="I90" s="23">
        <f t="shared" si="9"/>
        <v>0</v>
      </c>
      <c r="J90" s="23">
        <f t="shared" si="7"/>
        <v>0</v>
      </c>
      <c r="K90" s="23">
        <f>F90 * G90 * 947.679781</f>
        <v>284.30393429999998</v>
      </c>
      <c r="L90" s="23">
        <f>F90 * G90 * 225.97923</f>
        <v>67.793768999999998</v>
      </c>
      <c r="M90" s="23">
        <f>F90 * G90 * 199.050574</f>
        <v>59.715172199999998</v>
      </c>
      <c r="N90" s="24">
        <f t="shared" si="8"/>
        <v>710.38873590000003</v>
      </c>
      <c r="O90" s="25">
        <f>IF(O3&gt;0,N90/O3/12,0)</f>
        <v>1.4601549299509164E-2</v>
      </c>
    </row>
    <row r="91" spans="2:15" s="15" customFormat="1" ht="14.4" x14ac:dyDescent="0.3">
      <c r="B91" s="16"/>
      <c r="C91" s="17" t="s">
        <v>245</v>
      </c>
      <c r="D91" s="32" t="s">
        <v>246</v>
      </c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</row>
    <row r="92" spans="2:15" ht="82.8" x14ac:dyDescent="0.3">
      <c r="B92" s="18">
        <v>76</v>
      </c>
      <c r="C92" s="19" t="s">
        <v>247</v>
      </c>
      <c r="D92" s="20" t="s">
        <v>248</v>
      </c>
      <c r="E92" s="20" t="s">
        <v>249</v>
      </c>
      <c r="F92" s="21">
        <v>4.0540000000000003</v>
      </c>
      <c r="G92" s="22">
        <v>3</v>
      </c>
      <c r="H92" s="23">
        <f>F92 * G92 * 3438.11052</f>
        <v>41814.300144240005</v>
      </c>
      <c r="I92" s="23">
        <f>F92 * G92 * 0</f>
        <v>0</v>
      </c>
      <c r="J92" s="23">
        <f>F92 * G92 * 0</f>
        <v>0</v>
      </c>
      <c r="K92" s="23">
        <f>F92 * G92 * 3273.768837</f>
        <v>39815.576595594001</v>
      </c>
      <c r="L92" s="23">
        <f>F92 * G92 * 780.647404</f>
        <v>9494.2337274480014</v>
      </c>
      <c r="M92" s="23">
        <f>F92 * G92 * 687.622104</f>
        <v>8362.8600288480011</v>
      </c>
      <c r="N92" s="24">
        <f>SUM(H92:M92)</f>
        <v>99486.970496130001</v>
      </c>
      <c r="O92" s="25">
        <f>IF(O3&gt;0,N92/O3/12,0)</f>
        <v>2.0448858926762941</v>
      </c>
    </row>
    <row r="93" spans="2:15" s="15" customFormat="1" ht="14.4" x14ac:dyDescent="0.3">
      <c r="B93" s="16"/>
      <c r="C93" s="17" t="s">
        <v>250</v>
      </c>
      <c r="D93" s="32" t="s">
        <v>251</v>
      </c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</row>
    <row r="94" spans="2:15" ht="41.4" x14ac:dyDescent="0.3">
      <c r="B94" s="18">
        <v>77</v>
      </c>
      <c r="C94" s="19" t="s">
        <v>252</v>
      </c>
      <c r="D94" s="20" t="s">
        <v>253</v>
      </c>
      <c r="E94" s="20" t="s">
        <v>254</v>
      </c>
      <c r="F94" s="21">
        <v>2.96</v>
      </c>
      <c r="G94" s="22">
        <v>104</v>
      </c>
      <c r="H94" s="23">
        <f>F94 * G94 * 209.396694</f>
        <v>64460.678280959997</v>
      </c>
      <c r="I94" s="23">
        <f>F94 * G94 * 2.96946</f>
        <v>914.11856639999996</v>
      </c>
      <c r="J94" s="23">
        <f t="shared" ref="J94:J104" si="10">F94 * G94 * 0</f>
        <v>0</v>
      </c>
      <c r="K94" s="23">
        <f>F94 * G94 * 199.387532</f>
        <v>61379.45785087999</v>
      </c>
      <c r="L94" s="23">
        <f>F94 * G94 * 47.858284</f>
        <v>14732.694146559998</v>
      </c>
      <c r="M94" s="23">
        <f>F94 * G94 * 41.879339</f>
        <v>12892.13571776</v>
      </c>
      <c r="N94" s="24">
        <f t="shared" ref="N94:N104" si="11">SUM(H94:M94)</f>
        <v>154379.08456256002</v>
      </c>
      <c r="O94" s="25">
        <f>IF(O3&gt;0,N94/O3/12,0)</f>
        <v>3.17315534458394</v>
      </c>
    </row>
    <row r="95" spans="2:15" ht="41.4" x14ac:dyDescent="0.3">
      <c r="B95" s="18">
        <v>78</v>
      </c>
      <c r="C95" s="19" t="s">
        <v>255</v>
      </c>
      <c r="D95" s="20" t="s">
        <v>256</v>
      </c>
      <c r="E95" s="20" t="s">
        <v>257</v>
      </c>
      <c r="F95" s="21">
        <v>1.97</v>
      </c>
      <c r="G95" s="22">
        <v>104</v>
      </c>
      <c r="H95" s="23">
        <f>F95 * G95 * 159.7635</f>
        <v>32732.345879999997</v>
      </c>
      <c r="I95" s="23">
        <f>F95 * G95 * 2.96946</f>
        <v>608.38296480000008</v>
      </c>
      <c r="J95" s="23">
        <f t="shared" si="10"/>
        <v>0</v>
      </c>
      <c r="K95" s="23">
        <f>F95 * G95 * 152.126805</f>
        <v>31167.739808399998</v>
      </c>
      <c r="L95" s="23">
        <f>F95 * G95 * 36.588715</f>
        <v>7496.2959291999996</v>
      </c>
      <c r="M95" s="23">
        <f>F95 * G95 * 31.9527</f>
        <v>6546.4691759999996</v>
      </c>
      <c r="N95" s="24">
        <f t="shared" si="11"/>
        <v>78551.233758399991</v>
      </c>
      <c r="O95" s="25">
        <f>IF(O3&gt;0,N95/O3/12,0)</f>
        <v>1.6145662991227419</v>
      </c>
    </row>
    <row r="96" spans="2:15" ht="27.6" x14ac:dyDescent="0.3">
      <c r="B96" s="18">
        <v>79</v>
      </c>
      <c r="C96" s="19" t="s">
        <v>258</v>
      </c>
      <c r="D96" s="20" t="s">
        <v>259</v>
      </c>
      <c r="E96" s="20" t="s">
        <v>257</v>
      </c>
      <c r="F96" s="21">
        <v>2.96</v>
      </c>
      <c r="G96" s="22">
        <v>24</v>
      </c>
      <c r="H96" s="23">
        <f>F96 * G96 * 479.2905</f>
        <v>34048.797119999996</v>
      </c>
      <c r="I96" s="23">
        <f>F96 * G96 * 77.7709</f>
        <v>5524.8447359999991</v>
      </c>
      <c r="J96" s="23">
        <f t="shared" si="10"/>
        <v>0</v>
      </c>
      <c r="K96" s="23">
        <f>F96 * G96 * 456.380414</f>
        <v>32421.264610559996</v>
      </c>
      <c r="L96" s="23">
        <f>F96 * G96 * 117.031140999999</f>
        <v>8313.8922566399269</v>
      </c>
      <c r="M96" s="23">
        <f>F96 * G96 * 95.8581</f>
        <v>6809.7594239999989</v>
      </c>
      <c r="N96" s="24">
        <f t="shared" si="11"/>
        <v>87118.558147199918</v>
      </c>
      <c r="O96" s="25">
        <f>IF(O3&gt;0,N96/O3/12,0)</f>
        <v>1.790661728436473</v>
      </c>
    </row>
    <row r="97" spans="2:15" ht="27.6" x14ac:dyDescent="0.3">
      <c r="B97" s="18">
        <v>80</v>
      </c>
      <c r="C97" s="19" t="s">
        <v>260</v>
      </c>
      <c r="D97" s="20" t="s">
        <v>261</v>
      </c>
      <c r="E97" s="20" t="s">
        <v>254</v>
      </c>
      <c r="F97" s="21">
        <v>1.97</v>
      </c>
      <c r="G97" s="22">
        <v>24</v>
      </c>
      <c r="H97" s="23">
        <f>F97 * G97 * 386.840688</f>
        <v>18289.827728640001</v>
      </c>
      <c r="I97" s="23">
        <f>F97 * G97 * 77.7709</f>
        <v>3677.0081519999999</v>
      </c>
      <c r="J97" s="23">
        <f t="shared" si="10"/>
        <v>0</v>
      </c>
      <c r="K97" s="23">
        <f>F97 * G97 * 368.349703</f>
        <v>17415.573957839999</v>
      </c>
      <c r="L97" s="23">
        <f>F97 * G97 * 96.039755</f>
        <v>4540.7596163999997</v>
      </c>
      <c r="M97" s="23">
        <f>F97 * G97 * 77.368138</f>
        <v>3657.9655646400001</v>
      </c>
      <c r="N97" s="24">
        <f t="shared" si="11"/>
        <v>47581.135019519999</v>
      </c>
      <c r="O97" s="25">
        <f>IF(O3&gt;0,N97/O3/12,0)</f>
        <v>0.97799733245196452</v>
      </c>
    </row>
    <row r="98" spans="2:15" ht="27.6" x14ac:dyDescent="0.3">
      <c r="B98" s="18">
        <v>81</v>
      </c>
      <c r="C98" s="19" t="s">
        <v>262</v>
      </c>
      <c r="D98" s="20" t="s">
        <v>263</v>
      </c>
      <c r="E98" s="20" t="s">
        <v>31</v>
      </c>
      <c r="F98" s="21">
        <v>0.5</v>
      </c>
      <c r="G98" s="22">
        <v>2</v>
      </c>
      <c r="H98" s="23">
        <f>F98 * G98 * 191.7162</f>
        <v>191.71619999999999</v>
      </c>
      <c r="I98" s="23">
        <f>F98 * G98 * 9.534435</f>
        <v>9.5344350000000002</v>
      </c>
      <c r="J98" s="23">
        <f t="shared" si="10"/>
        <v>0</v>
      </c>
      <c r="K98" s="23">
        <f>F98 * G98 * 182.552166</f>
        <v>182.552166</v>
      </c>
      <c r="L98" s="23">
        <f>F98 * G98 * 44.536407</f>
        <v>44.536406999999997</v>
      </c>
      <c r="M98" s="23">
        <f>F98 * G98 * 38.34324</f>
        <v>38.343240000000002</v>
      </c>
      <c r="N98" s="24">
        <f t="shared" si="11"/>
        <v>466.68244799999997</v>
      </c>
      <c r="O98" s="25">
        <f>IF(O3&gt;0,N98/O3/12,0)</f>
        <v>9.5923350516735305E-3</v>
      </c>
    </row>
    <row r="99" spans="2:15" ht="27.6" x14ac:dyDescent="0.3">
      <c r="B99" s="18">
        <v>82</v>
      </c>
      <c r="C99" s="19" t="s">
        <v>264</v>
      </c>
      <c r="D99" s="20" t="s">
        <v>265</v>
      </c>
      <c r="E99" s="20" t="s">
        <v>266</v>
      </c>
      <c r="F99" s="21">
        <v>0.08</v>
      </c>
      <c r="G99" s="22">
        <v>2</v>
      </c>
      <c r="H99" s="23">
        <f>F99 * G99 * 482.911806</f>
        <v>77.265888959999998</v>
      </c>
      <c r="I99" s="23">
        <f>F99 * G99 * 64.780335</f>
        <v>10.3648536</v>
      </c>
      <c r="J99" s="23">
        <f t="shared" si="10"/>
        <v>0</v>
      </c>
      <c r="K99" s="23">
        <f>F99 * G99 * 459.828622</f>
        <v>73.572579520000005</v>
      </c>
      <c r="L99" s="23">
        <f>F99 * G99 * 116.48288</f>
        <v>18.6372608</v>
      </c>
      <c r="M99" s="23">
        <f>F99 * G99 * 96.582361</f>
        <v>15.453177760000001</v>
      </c>
      <c r="N99" s="24">
        <f t="shared" si="11"/>
        <v>195.29376064000002</v>
      </c>
      <c r="O99" s="25">
        <f>IF(O3&gt;0,N99/O3/12,0)</f>
        <v>4.0141282227100445E-3</v>
      </c>
    </row>
    <row r="100" spans="2:15" ht="27.6" x14ac:dyDescent="0.3">
      <c r="B100" s="18">
        <v>83</v>
      </c>
      <c r="C100" s="19" t="s">
        <v>267</v>
      </c>
      <c r="D100" s="20" t="s">
        <v>268</v>
      </c>
      <c r="E100" s="20" t="s">
        <v>269</v>
      </c>
      <c r="F100" s="21">
        <v>0.2</v>
      </c>
      <c r="G100" s="22">
        <v>2</v>
      </c>
      <c r="H100" s="23">
        <f>F100 * G100 * 486.320094</f>
        <v>194.5280376</v>
      </c>
      <c r="I100" s="23">
        <f>F100 * G100 * 64.853655</f>
        <v>25.941462000000001</v>
      </c>
      <c r="J100" s="23">
        <f t="shared" si="10"/>
        <v>0</v>
      </c>
      <c r="K100" s="23">
        <f>F100 * G100 * 463.073993</f>
        <v>185.2295972</v>
      </c>
      <c r="L100" s="23">
        <f>F100 * G100 * 117.264490999999</f>
        <v>46.905796399999602</v>
      </c>
      <c r="M100" s="23">
        <f>F100 * G100 * 97.264019</f>
        <v>38.905607600000003</v>
      </c>
      <c r="N100" s="24">
        <f t="shared" si="11"/>
        <v>491.51050079999959</v>
      </c>
      <c r="O100" s="25">
        <f>IF(O3&gt;0,N100/O3/12,0)</f>
        <v>1.0102658510717007E-2</v>
      </c>
    </row>
    <row r="101" spans="2:15" ht="27.6" x14ac:dyDescent="0.3">
      <c r="B101" s="18">
        <v>84</v>
      </c>
      <c r="C101" s="19" t="s">
        <v>270</v>
      </c>
      <c r="D101" s="20" t="s">
        <v>271</v>
      </c>
      <c r="E101" s="20" t="s">
        <v>272</v>
      </c>
      <c r="F101" s="21">
        <v>0.249</v>
      </c>
      <c r="G101" s="22">
        <v>2</v>
      </c>
      <c r="H101" s="23">
        <f>F101 * G101 * 713.6103</f>
        <v>355.37792940000003</v>
      </c>
      <c r="I101" s="23">
        <f>F101 * G101 * 165.881593</f>
        <v>82.609033314000001</v>
      </c>
      <c r="J101" s="23">
        <f t="shared" si="10"/>
        <v>0</v>
      </c>
      <c r="K101" s="23">
        <f>F101 * G101 * 679.499728</f>
        <v>338.39086454400001</v>
      </c>
      <c r="L101" s="23">
        <f>F101 * G101 * 179.530793</f>
        <v>89.406334913999999</v>
      </c>
      <c r="M101" s="23">
        <f>F101 * G101 * 142.72206</f>
        <v>71.075585880000006</v>
      </c>
      <c r="N101" s="24">
        <f t="shared" si="11"/>
        <v>936.85974805199999</v>
      </c>
      <c r="O101" s="25">
        <f>IF(O3&gt;0,N101/O3/12,0)</f>
        <v>1.9256504370914831E-2</v>
      </c>
    </row>
    <row r="102" spans="2:15" x14ac:dyDescent="0.3">
      <c r="B102" s="18">
        <v>85</v>
      </c>
      <c r="C102" s="19" t="s">
        <v>273</v>
      </c>
      <c r="D102" s="20" t="s">
        <v>274</v>
      </c>
      <c r="E102" s="20" t="s">
        <v>275</v>
      </c>
      <c r="F102" s="21">
        <v>6.0000000000000001E-3</v>
      </c>
      <c r="G102" s="22">
        <v>247</v>
      </c>
      <c r="H102" s="23">
        <f>F102 * G102 * 77.0142</f>
        <v>114.1350444</v>
      </c>
      <c r="I102" s="23">
        <f>F102 * G102 * 54.74466</f>
        <v>81.131586120000009</v>
      </c>
      <c r="J102" s="23">
        <f t="shared" si="10"/>
        <v>0</v>
      </c>
      <c r="K102" s="23">
        <f>F102 * G102 * 73.332921</f>
        <v>108.679388922</v>
      </c>
      <c r="L102" s="23">
        <f>F102 * G102 * 23.262182</f>
        <v>34.474553723999996</v>
      </c>
      <c r="M102" s="23">
        <f>F102 * G102 * 15.40284</f>
        <v>22.827008879999998</v>
      </c>
      <c r="N102" s="24">
        <f t="shared" si="11"/>
        <v>361.24758204599999</v>
      </c>
      <c r="O102" s="25">
        <f>IF(O3&gt;0,N102/O3/12,0)</f>
        <v>7.4251942802703299E-3</v>
      </c>
    </row>
    <row r="103" spans="2:15" ht="41.4" x14ac:dyDescent="0.3">
      <c r="B103" s="18">
        <v>86</v>
      </c>
      <c r="C103" s="19" t="s">
        <v>276</v>
      </c>
      <c r="D103" s="20" t="s">
        <v>277</v>
      </c>
      <c r="E103" s="20" t="s">
        <v>278</v>
      </c>
      <c r="F103" s="21">
        <v>0.22</v>
      </c>
      <c r="G103" s="22">
        <v>2</v>
      </c>
      <c r="H103" s="23">
        <f>F103 * G103 * 287.5743</f>
        <v>126.532692</v>
      </c>
      <c r="I103" s="23">
        <f>F103 * G103 * 46.32414</f>
        <v>20.3826216</v>
      </c>
      <c r="J103" s="23">
        <f t="shared" si="10"/>
        <v>0</v>
      </c>
      <c r="K103" s="23">
        <f>F103 * G103 * 273.828248</f>
        <v>120.48442911999999</v>
      </c>
      <c r="L103" s="23">
        <f>F103 * G103 * 70.1829839999999</f>
        <v>30.880512959999958</v>
      </c>
      <c r="M103" s="23">
        <f>F103 * G103 * 57.51486</f>
        <v>25.306538400000001</v>
      </c>
      <c r="N103" s="24">
        <f t="shared" si="11"/>
        <v>323.58679407999995</v>
      </c>
      <c r="O103" s="25">
        <f>IF(O3&gt;0,N103/O3/12,0)</f>
        <v>6.6511028225176546E-3</v>
      </c>
    </row>
    <row r="104" spans="2:15" ht="27.6" x14ac:dyDescent="0.3">
      <c r="B104" s="18">
        <v>87</v>
      </c>
      <c r="C104" s="19" t="s">
        <v>279</v>
      </c>
      <c r="D104" s="20" t="s">
        <v>280</v>
      </c>
      <c r="E104" s="20" t="s">
        <v>281</v>
      </c>
      <c r="F104" s="21">
        <v>0.08</v>
      </c>
      <c r="G104" s="22">
        <v>2</v>
      </c>
      <c r="H104" s="23">
        <f>F104 * G104 * 387.053706</f>
        <v>61.928592959999996</v>
      </c>
      <c r="I104" s="23">
        <f>F104 * G104 * 46.32414</f>
        <v>7.4118624000000004</v>
      </c>
      <c r="J104" s="23">
        <f t="shared" si="10"/>
        <v>0</v>
      </c>
      <c r="K104" s="23">
        <f>F104 * G104 * 368.552539</f>
        <v>58.968406240000007</v>
      </c>
      <c r="L104" s="23">
        <f>F104 * G104 * 92.770489</f>
        <v>14.84327824</v>
      </c>
      <c r="M104" s="23">
        <f>F104 * G104 * 77.410741</f>
        <v>12.385718560000001</v>
      </c>
      <c r="N104" s="24">
        <f t="shared" si="11"/>
        <v>155.5378584</v>
      </c>
      <c r="O104" s="25">
        <f>IF(O3&gt;0,N104/O3/12,0)</f>
        <v>3.1969731396295289E-3</v>
      </c>
    </row>
    <row r="105" spans="2:15" s="15" customFormat="1" ht="14.4" x14ac:dyDescent="0.3">
      <c r="B105" s="16"/>
      <c r="C105" s="17" t="s">
        <v>282</v>
      </c>
      <c r="D105" s="32" t="s">
        <v>283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</row>
    <row r="106" spans="2:15" ht="27.6" x14ac:dyDescent="0.3">
      <c r="B106" s="18">
        <v>88</v>
      </c>
      <c r="C106" s="19" t="s">
        <v>284</v>
      </c>
      <c r="D106" s="20" t="s">
        <v>285</v>
      </c>
      <c r="E106" s="20" t="s">
        <v>286</v>
      </c>
      <c r="F106" s="21">
        <v>0.5</v>
      </c>
      <c r="G106" s="22">
        <v>123.5</v>
      </c>
      <c r="H106" s="23">
        <f>F106 * G106 * 273.6462</f>
        <v>16897.652850000002</v>
      </c>
      <c r="I106" s="23">
        <f>F106 * G106 * 1.561904</f>
        <v>96.447571999999994</v>
      </c>
      <c r="J106" s="23">
        <f>F106 * G106 * 0</f>
        <v>0</v>
      </c>
      <c r="K106" s="23">
        <f>F106 * G106 * 260.565912</f>
        <v>16089.945066000002</v>
      </c>
      <c r="L106" s="23">
        <f>F106 * G106 * 62.298093</f>
        <v>3846.90724275</v>
      </c>
      <c r="M106" s="23">
        <f>F106 * G106 * 54.72924</f>
        <v>3379.5305699999999</v>
      </c>
      <c r="N106" s="24">
        <f t="shared" ref="N106:N120" si="12">SUM(H106:M106)</f>
        <v>40310.483300750006</v>
      </c>
      <c r="O106" s="25">
        <f>IF(O3&gt;0,N106/O3/12,0)</f>
        <v>0.8285541133436517</v>
      </c>
    </row>
    <row r="107" spans="2:15" ht="27.6" x14ac:dyDescent="0.3">
      <c r="B107" s="18">
        <v>89</v>
      </c>
      <c r="C107" s="19" t="s">
        <v>287</v>
      </c>
      <c r="D107" s="20" t="s">
        <v>288</v>
      </c>
      <c r="E107" s="20" t="s">
        <v>289</v>
      </c>
      <c r="F107" s="21">
        <v>3.3000000000000002E-2</v>
      </c>
      <c r="G107" s="22">
        <v>2</v>
      </c>
      <c r="H107" s="23">
        <f>F107 * G107 * 191170.5462</f>
        <v>12617.256049200001</v>
      </c>
      <c r="I107" s="23">
        <f>F107 * G107 * 1083.608688</f>
        <v>71.51817340800001</v>
      </c>
      <c r="J107" s="23">
        <f>F107 * G107 * 0</f>
        <v>0</v>
      </c>
      <c r="K107" s="23">
        <f>F107 * G107 * 182032.594092</f>
        <v>12014.151210072001</v>
      </c>
      <c r="L107" s="23">
        <f>F107 * G107 * 43520.950542</f>
        <v>2872.3827357720002</v>
      </c>
      <c r="M107" s="23">
        <f>F107 * G107 * 38234.10924</f>
        <v>2523.45120984</v>
      </c>
      <c r="N107" s="24">
        <f t="shared" si="12"/>
        <v>30098.759378292001</v>
      </c>
      <c r="O107" s="25">
        <f>IF(O3&gt;0,N107/O3/12,0)</f>
        <v>0.61865918856300717</v>
      </c>
    </row>
    <row r="108" spans="2:15" x14ac:dyDescent="0.3">
      <c r="B108" s="18">
        <v>90</v>
      </c>
      <c r="C108" s="19" t="s">
        <v>290</v>
      </c>
      <c r="D108" s="20" t="s">
        <v>291</v>
      </c>
      <c r="E108" s="20" t="s">
        <v>292</v>
      </c>
      <c r="F108" s="21">
        <v>3.3000000000000002E-2</v>
      </c>
      <c r="G108" s="22">
        <v>123.5</v>
      </c>
      <c r="H108" s="23">
        <f>F108 * G108 * 21028.1538</f>
        <v>85700.240811900003</v>
      </c>
      <c r="I108" s="23">
        <f>F108 * G108 * 120.9216</f>
        <v>492.81598079999998</v>
      </c>
      <c r="J108" s="23">
        <f>F108 * G108 * 0</f>
        <v>0</v>
      </c>
      <c r="K108" s="23">
        <f>F108 * G108 * 20023.008048</f>
        <v>81603.769299623993</v>
      </c>
      <c r="L108" s="23">
        <f>F108 * G108 * 4787.348849</f>
        <v>19510.840234099498</v>
      </c>
      <c r="M108" s="23">
        <f>F108 * G108 * 4205.63076</f>
        <v>17140.048162380001</v>
      </c>
      <c r="N108" s="24">
        <f t="shared" si="12"/>
        <v>204447.7144888035</v>
      </c>
      <c r="O108" s="25">
        <f>IF(O3&gt;0,N108/O3/12,0)</f>
        <v>4.2022814149751193</v>
      </c>
    </row>
    <row r="109" spans="2:15" x14ac:dyDescent="0.3">
      <c r="B109" s="18">
        <v>91</v>
      </c>
      <c r="C109" s="19" t="s">
        <v>293</v>
      </c>
      <c r="D109" s="20" t="s">
        <v>294</v>
      </c>
      <c r="E109" s="20" t="s">
        <v>295</v>
      </c>
      <c r="F109" s="21">
        <v>33</v>
      </c>
      <c r="G109" s="22">
        <v>2</v>
      </c>
      <c r="H109" s="23">
        <f>F109 * G109 * 208.75764</f>
        <v>13778.00424</v>
      </c>
      <c r="I109" s="23">
        <f>F109 * G109 * 30.2304</f>
        <v>1995.2064</v>
      </c>
      <c r="J109" s="23">
        <f>F109 * G109 * 26.2218</f>
        <v>1730.6388000000002</v>
      </c>
      <c r="K109" s="23">
        <f>F109 * G109 * 198.779025</f>
        <v>13119.415649999999</v>
      </c>
      <c r="L109" s="23">
        <f>F109 * G109 * 53.355611</f>
        <v>3521.4703260000001</v>
      </c>
      <c r="M109" s="23">
        <f>F109 * G109 * 41.751528</f>
        <v>2755.600848</v>
      </c>
      <c r="N109" s="24">
        <f t="shared" si="12"/>
        <v>36900.336264000005</v>
      </c>
      <c r="O109" s="25">
        <f>IF(O3&gt;0,N109/O3/12,0)</f>
        <v>0.75846089879880629</v>
      </c>
    </row>
    <row r="110" spans="2:15" x14ac:dyDescent="0.3">
      <c r="B110" s="18">
        <v>92</v>
      </c>
      <c r="C110" s="19" t="s">
        <v>296</v>
      </c>
      <c r="D110" s="20" t="s">
        <v>297</v>
      </c>
      <c r="E110" s="20" t="s">
        <v>298</v>
      </c>
      <c r="F110" s="21">
        <v>0.02</v>
      </c>
      <c r="G110" s="22">
        <v>123.5</v>
      </c>
      <c r="H110" s="23">
        <f>F110 * G110 * 394.9026</f>
        <v>975.40942200000006</v>
      </c>
      <c r="I110" s="23">
        <f>F110 * G110 * 503.84</f>
        <v>1244.4848</v>
      </c>
      <c r="J110" s="23">
        <f t="shared" ref="J110:J117" si="13">F110 * G110 * 0</f>
        <v>0</v>
      </c>
      <c r="K110" s="23">
        <f>F110 * G110 * 376.026256</f>
        <v>928.78485232000003</v>
      </c>
      <c r="L110" s="23">
        <f>F110 * G110 * 142.820559</f>
        <v>352.76678073000005</v>
      </c>
      <c r="M110" s="23">
        <f>F110 * G110 * 78.98052</f>
        <v>195.08188440000001</v>
      </c>
      <c r="N110" s="24">
        <f t="shared" si="12"/>
        <v>3696.5277394499999</v>
      </c>
      <c r="O110" s="25">
        <f>IF(O3&gt;0,N110/O3/12,0)</f>
        <v>7.5979571883555724E-2</v>
      </c>
    </row>
    <row r="111" spans="2:15" ht="41.4" x14ac:dyDescent="0.3">
      <c r="B111" s="18">
        <v>93</v>
      </c>
      <c r="C111" s="19" t="s">
        <v>299</v>
      </c>
      <c r="D111" s="20" t="s">
        <v>300</v>
      </c>
      <c r="E111" s="20" t="s">
        <v>301</v>
      </c>
      <c r="F111" s="21">
        <v>0.03</v>
      </c>
      <c r="G111" s="22">
        <v>10</v>
      </c>
      <c r="H111" s="23">
        <f>F111 * G111 * 4370.1462</f>
        <v>1311.04386</v>
      </c>
      <c r="I111" s="23">
        <f t="shared" ref="I111:I119" si="14">F111 * G111 * 0</f>
        <v>0</v>
      </c>
      <c r="J111" s="23">
        <f t="shared" si="13"/>
        <v>0</v>
      </c>
      <c r="K111" s="23">
        <f>F111 * G111 * 4161.253212</f>
        <v>1248.3759635999997</v>
      </c>
      <c r="L111" s="23">
        <f>F111 * G111 * 992.272722</f>
        <v>297.68181659999999</v>
      </c>
      <c r="M111" s="23">
        <f>F111 * G111 * 874.02924</f>
        <v>262.20877199999995</v>
      </c>
      <c r="N111" s="24">
        <f t="shared" si="12"/>
        <v>3119.3104121999995</v>
      </c>
      <c r="O111" s="25">
        <f>IF(O3&gt;0,N111/O3/12,0)</f>
        <v>6.4115268813358647E-2</v>
      </c>
    </row>
    <row r="112" spans="2:15" ht="41.4" x14ac:dyDescent="0.3">
      <c r="B112" s="18">
        <v>94</v>
      </c>
      <c r="C112" s="19" t="s">
        <v>302</v>
      </c>
      <c r="D112" s="20" t="s">
        <v>303</v>
      </c>
      <c r="E112" s="20" t="s">
        <v>301</v>
      </c>
      <c r="F112" s="21">
        <v>0.03</v>
      </c>
      <c r="G112" s="22">
        <v>10</v>
      </c>
      <c r="H112" s="23">
        <f>F112 * G112 * 19389.5538</f>
        <v>5816.8661400000001</v>
      </c>
      <c r="I112" s="23">
        <f t="shared" si="14"/>
        <v>0</v>
      </c>
      <c r="J112" s="23">
        <f t="shared" si="13"/>
        <v>0</v>
      </c>
      <c r="K112" s="23">
        <f>F112 * G112 * 18462.733128</f>
        <v>5538.8199384</v>
      </c>
      <c r="L112" s="23">
        <f>F112 * G112 * 4402.535856</f>
        <v>1320.7607568000001</v>
      </c>
      <c r="M112" s="23">
        <f>F112 * G112 * 3877.91076</f>
        <v>1163.3732279999999</v>
      </c>
      <c r="N112" s="24">
        <f t="shared" si="12"/>
        <v>13839.820063200001</v>
      </c>
      <c r="O112" s="25">
        <f>IF(O3&gt;0,N112/O3/12,0)</f>
        <v>0.28446793246676366</v>
      </c>
    </row>
    <row r="113" spans="2:15" ht="41.4" x14ac:dyDescent="0.3">
      <c r="B113" s="18">
        <v>95</v>
      </c>
      <c r="C113" s="19" t="s">
        <v>304</v>
      </c>
      <c r="D113" s="20" t="s">
        <v>305</v>
      </c>
      <c r="E113" s="20" t="s">
        <v>301</v>
      </c>
      <c r="F113" s="21">
        <v>0.03</v>
      </c>
      <c r="G113" s="22">
        <v>4</v>
      </c>
      <c r="H113" s="23">
        <f>F113 * G113 * 122349.3462</f>
        <v>14681.921543999999</v>
      </c>
      <c r="I113" s="23">
        <f t="shared" si="14"/>
        <v>0</v>
      </c>
      <c r="J113" s="23">
        <f t="shared" si="13"/>
        <v>0</v>
      </c>
      <c r="K113" s="23">
        <f>F113 * G113 * 116501.047452</f>
        <v>13980.12569424</v>
      </c>
      <c r="L113" s="23">
        <f>F113 * G113 * 27780.2877349999</f>
        <v>3333.6345281999879</v>
      </c>
      <c r="M113" s="23">
        <f>F113 * G113 * 24469.86924</f>
        <v>2936.3843087999999</v>
      </c>
      <c r="N113" s="24">
        <f t="shared" si="12"/>
        <v>34932.066075239985</v>
      </c>
      <c r="O113" s="25">
        <f>IF(O3&gt;0,N113/O3/12,0)</f>
        <v>0.71800446594233247</v>
      </c>
    </row>
    <row r="114" spans="2:15" ht="27.6" x14ac:dyDescent="0.3">
      <c r="B114" s="18">
        <v>96</v>
      </c>
      <c r="C114" s="19" t="s">
        <v>306</v>
      </c>
      <c r="D114" s="20" t="s">
        <v>307</v>
      </c>
      <c r="E114" s="20" t="s">
        <v>308</v>
      </c>
      <c r="F114" s="21">
        <v>16.170000000000002</v>
      </c>
      <c r="G114" s="22">
        <v>2</v>
      </c>
      <c r="H114" s="23">
        <f>F114 * G114 * 639.054</f>
        <v>20667.006360000003</v>
      </c>
      <c r="I114" s="23">
        <f t="shared" si="14"/>
        <v>0</v>
      </c>
      <c r="J114" s="23">
        <f t="shared" si="13"/>
        <v>0</v>
      </c>
      <c r="K114" s="23">
        <f>F114 * G114 * 608.507219</f>
        <v>19679.12346246</v>
      </c>
      <c r="L114" s="23">
        <f>F114 * G114 * 145.101748</f>
        <v>4692.5905303199997</v>
      </c>
      <c r="M114" s="23">
        <f>F114 * G114 * 127.8108</f>
        <v>4133.4012720000001</v>
      </c>
      <c r="N114" s="24">
        <f t="shared" si="12"/>
        <v>49172.121624780004</v>
      </c>
      <c r="O114" s="25">
        <f>IF(O3&gt;0,N114/O3/12,0)</f>
        <v>1.0106989621056657</v>
      </c>
    </row>
    <row r="115" spans="2:15" ht="27.6" x14ac:dyDescent="0.3">
      <c r="B115" s="18">
        <v>97</v>
      </c>
      <c r="C115" s="19" t="s">
        <v>309</v>
      </c>
      <c r="D115" s="20" t="s">
        <v>310</v>
      </c>
      <c r="E115" s="20" t="s">
        <v>308</v>
      </c>
      <c r="F115" s="21">
        <v>16.170000000000002</v>
      </c>
      <c r="G115" s="22">
        <v>2</v>
      </c>
      <c r="H115" s="23">
        <f>F115 * G115 * 81.93</f>
        <v>2649.6162000000004</v>
      </c>
      <c r="I115" s="23">
        <f t="shared" si="14"/>
        <v>0</v>
      </c>
      <c r="J115" s="23">
        <f t="shared" si="13"/>
        <v>0</v>
      </c>
      <c r="K115" s="23">
        <f>F115 * G115 * 78.013746</f>
        <v>2522.9645456400003</v>
      </c>
      <c r="L115" s="23">
        <f>F115 * G115 * 18.602788</f>
        <v>601.61416392000012</v>
      </c>
      <c r="M115" s="23">
        <f>F115 * G115 * 16.386</f>
        <v>529.92324000000008</v>
      </c>
      <c r="N115" s="24">
        <f t="shared" si="12"/>
        <v>6304.1181495600013</v>
      </c>
      <c r="O115" s="25">
        <f>IF(O3&gt;0,N115/O3/12,0)</f>
        <v>0.12957678986014851</v>
      </c>
    </row>
    <row r="116" spans="2:15" x14ac:dyDescent="0.3">
      <c r="B116" s="18">
        <v>98</v>
      </c>
      <c r="C116" s="19" t="s">
        <v>311</v>
      </c>
      <c r="D116" s="20" t="s">
        <v>312</v>
      </c>
      <c r="E116" s="20" t="s">
        <v>313</v>
      </c>
      <c r="F116" s="21">
        <v>16.170000000000002</v>
      </c>
      <c r="G116" s="22">
        <v>2</v>
      </c>
      <c r="H116" s="23">
        <f>F116 * G116 * 196.632</f>
        <v>6359.0788800000009</v>
      </c>
      <c r="I116" s="23">
        <f t="shared" si="14"/>
        <v>0</v>
      </c>
      <c r="J116" s="23">
        <f t="shared" si="13"/>
        <v>0</v>
      </c>
      <c r="K116" s="23">
        <f>F116 * G116 * 187.23299</f>
        <v>6055.114896600001</v>
      </c>
      <c r="L116" s="23">
        <f>F116 * G116 * 44.646692</f>
        <v>1443.8740192800003</v>
      </c>
      <c r="M116" s="23">
        <f>F116 * G116 * 39.3264</f>
        <v>1271.8157760000001</v>
      </c>
      <c r="N116" s="24">
        <f t="shared" si="12"/>
        <v>15129.88357188</v>
      </c>
      <c r="O116" s="25">
        <f>IF(O3&gt;0,N116/O3/12,0)</f>
        <v>0.3109842959302469</v>
      </c>
    </row>
    <row r="117" spans="2:15" x14ac:dyDescent="0.3">
      <c r="B117" s="18">
        <v>99</v>
      </c>
      <c r="C117" s="19" t="s">
        <v>314</v>
      </c>
      <c r="D117" s="20" t="s">
        <v>315</v>
      </c>
      <c r="E117" s="20" t="s">
        <v>316</v>
      </c>
      <c r="F117" s="21">
        <v>50</v>
      </c>
      <c r="G117" s="22">
        <v>2</v>
      </c>
      <c r="H117" s="23">
        <f>F117 * G117 * 95.317362</f>
        <v>9531.7361999999994</v>
      </c>
      <c r="I117" s="23">
        <f t="shared" si="14"/>
        <v>0</v>
      </c>
      <c r="J117" s="23">
        <f t="shared" si="13"/>
        <v>0</v>
      </c>
      <c r="K117" s="23">
        <f>F117 * G117 * 90.761192</f>
        <v>9076.1191999999992</v>
      </c>
      <c r="L117" s="23">
        <f>F117 * G117 * 21.642484</f>
        <v>2164.2483999999999</v>
      </c>
      <c r="M117" s="23">
        <f>F117 * G117 * 19.063472</f>
        <v>1906.3472000000002</v>
      </c>
      <c r="N117" s="24">
        <f t="shared" si="12"/>
        <v>22678.451000000001</v>
      </c>
      <c r="O117" s="25">
        <f>IF(O3&gt;0,N117/O3/12,0)</f>
        <v>0.46613988029170672</v>
      </c>
    </row>
    <row r="118" spans="2:15" ht="27.6" x14ac:dyDescent="0.3">
      <c r="B118" s="18">
        <v>100</v>
      </c>
      <c r="C118" s="19" t="s">
        <v>317</v>
      </c>
      <c r="D118" s="20" t="s">
        <v>318</v>
      </c>
      <c r="E118" s="20" t="s">
        <v>319</v>
      </c>
      <c r="F118" s="21">
        <v>0.27500000000000002</v>
      </c>
      <c r="G118" s="22">
        <v>5</v>
      </c>
      <c r="H118" s="23">
        <f>F118 * G118 * 0</f>
        <v>0</v>
      </c>
      <c r="I118" s="23">
        <f t="shared" si="14"/>
        <v>0</v>
      </c>
      <c r="J118" s="23">
        <f>F118 * G118 * 100.65264</f>
        <v>138.39738</v>
      </c>
      <c r="K118" s="23">
        <f>F118 * G118 * 43.417674</f>
        <v>59.699301749999997</v>
      </c>
      <c r="L118" s="23">
        <f>F118 * G118 * 16.16152</f>
        <v>22.222089999999998</v>
      </c>
      <c r="M118" s="23">
        <f>F118 * G118 * 9.119444</f>
        <v>12.5392355</v>
      </c>
      <c r="N118" s="24">
        <f t="shared" si="12"/>
        <v>232.85800724999999</v>
      </c>
      <c r="O118" s="25">
        <f>IF(O3&gt;0,N118/O3/12,0)</f>
        <v>4.7862353396393945E-3</v>
      </c>
    </row>
    <row r="119" spans="2:15" ht="27.6" x14ac:dyDescent="0.3">
      <c r="B119" s="18">
        <v>101</v>
      </c>
      <c r="C119" s="19" t="s">
        <v>320</v>
      </c>
      <c r="D119" s="20" t="s">
        <v>321</v>
      </c>
      <c r="E119" s="20" t="s">
        <v>56</v>
      </c>
      <c r="F119" s="21">
        <v>0.3</v>
      </c>
      <c r="G119" s="22">
        <v>123.5</v>
      </c>
      <c r="H119" s="23">
        <f>F119 * G119 * 226.1268</f>
        <v>8377.9979399999993</v>
      </c>
      <c r="I119" s="23">
        <f t="shared" si="14"/>
        <v>0</v>
      </c>
      <c r="J119" s="23">
        <f>F119 * G119 * 0</f>
        <v>0</v>
      </c>
      <c r="K119" s="23">
        <f>F119 * G119 * 215.317939</f>
        <v>7977.5296399499994</v>
      </c>
      <c r="L119" s="23">
        <f>F119 * G119 * 51.343695</f>
        <v>1902.2838997499998</v>
      </c>
      <c r="M119" s="23">
        <f>F119 * G119 * 45.22536</f>
        <v>1675.599588</v>
      </c>
      <c r="N119" s="24">
        <f t="shared" si="12"/>
        <v>19933.411067699999</v>
      </c>
      <c r="O119" s="25">
        <f>IF(O3&gt;0,N119/O3/12,0)</f>
        <v>0.40971748241989986</v>
      </c>
    </row>
    <row r="120" spans="2:15" ht="27.6" x14ac:dyDescent="0.3">
      <c r="B120" s="18">
        <v>102</v>
      </c>
      <c r="C120" s="19" t="s">
        <v>322</v>
      </c>
      <c r="D120" s="20" t="s">
        <v>323</v>
      </c>
      <c r="E120" s="20" t="s">
        <v>56</v>
      </c>
      <c r="F120" s="21">
        <v>0.3</v>
      </c>
      <c r="G120" s="22">
        <v>123.5</v>
      </c>
      <c r="H120" s="23">
        <f>F120 * G120 * 41.7843</f>
        <v>1548.1083149999999</v>
      </c>
      <c r="I120" s="23">
        <f>F120 * G120 * 0.236805</f>
        <v>8.7736252499999985</v>
      </c>
      <c r="J120" s="23">
        <f>F120 * G120 * 0</f>
        <v>0</v>
      </c>
      <c r="K120" s="23">
        <f>F120 * G120 * 39.7870099999999</f>
        <v>1474.1087204999963</v>
      </c>
      <c r="L120" s="23">
        <f>F120 * G120 * 9.512405</f>
        <v>352.43460524999995</v>
      </c>
      <c r="M120" s="23">
        <f>F120 * G120 * 8.35686</f>
        <v>309.62166299999996</v>
      </c>
      <c r="N120" s="24">
        <f t="shared" si="12"/>
        <v>3693.046928999996</v>
      </c>
      <c r="O120" s="25">
        <f>IF(O3&gt;0,N120/O3/12,0)</f>
        <v>7.5908026231408535E-2</v>
      </c>
    </row>
    <row r="121" spans="2:15" s="15" customFormat="1" ht="14.4" x14ac:dyDescent="0.3">
      <c r="B121" s="16"/>
      <c r="C121" s="17" t="s">
        <v>324</v>
      </c>
      <c r="D121" s="32" t="s">
        <v>325</v>
      </c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</row>
    <row r="122" spans="2:15" ht="41.4" x14ac:dyDescent="0.3">
      <c r="B122" s="18">
        <v>103</v>
      </c>
      <c r="C122" s="19" t="s">
        <v>326</v>
      </c>
      <c r="D122" s="20" t="s">
        <v>327</v>
      </c>
      <c r="E122" s="20" t="s">
        <v>328</v>
      </c>
      <c r="F122" s="21">
        <v>2.5540000000000003</v>
      </c>
      <c r="G122" s="22">
        <v>2</v>
      </c>
      <c r="H122" s="23">
        <f>F122 * G122 * 1550.77104</f>
        <v>7921.3384723200015</v>
      </c>
      <c r="I122" s="23">
        <f>F122 * G122 * 59.5584</f>
        <v>304.2243072</v>
      </c>
      <c r="J122" s="23">
        <f>F122 * G122 * 0</f>
        <v>0</v>
      </c>
      <c r="K122" s="23">
        <f>F122 * G122 * 1476.644184</f>
        <v>7542.6984918720009</v>
      </c>
      <c r="L122" s="23">
        <f>F122 * G122 * 358.396985999999</f>
        <v>1830.6918044879951</v>
      </c>
      <c r="M122" s="23">
        <f>F122 * G122 * 310.154208</f>
        <v>1584.267694464</v>
      </c>
      <c r="N122" s="24">
        <f>SUM(H122:M122)</f>
        <v>19183.220770344</v>
      </c>
      <c r="O122" s="25">
        <f>IF(O3&gt;0,N122/O3/12,0)</f>
        <v>0.3942978395436943</v>
      </c>
    </row>
    <row r="123" spans="2:15" ht="41.4" x14ac:dyDescent="0.3">
      <c r="B123" s="18">
        <v>104</v>
      </c>
      <c r="C123" s="19" t="s">
        <v>329</v>
      </c>
      <c r="D123" s="20" t="s">
        <v>330</v>
      </c>
      <c r="E123" s="20" t="s">
        <v>328</v>
      </c>
      <c r="F123" s="21">
        <v>0.93700000000000006</v>
      </c>
      <c r="G123" s="22">
        <v>2</v>
      </c>
      <c r="H123" s="23">
        <f>F123 * G123 * 1104.924366</f>
        <v>2070.628261884</v>
      </c>
      <c r="I123" s="23">
        <f>F123 * G123 * 270.72</f>
        <v>507.3292800000001</v>
      </c>
      <c r="J123" s="23">
        <f>F123 * G123 * 0</f>
        <v>0</v>
      </c>
      <c r="K123" s="23">
        <f>F123 * G123 * 1052.10898099999</f>
        <v>1971.6522303939814</v>
      </c>
      <c r="L123" s="23">
        <f>F123 * G123 * 279.441882</f>
        <v>523.67408686800002</v>
      </c>
      <c r="M123" s="23">
        <f>F123 * G123 * 220.984873</f>
        <v>414.12565200200004</v>
      </c>
      <c r="N123" s="24">
        <f>SUM(H123:M123)</f>
        <v>5487.409511147981</v>
      </c>
      <c r="O123" s="25">
        <f>IF(O3&gt;0,N123/O3/12,0)</f>
        <v>0.11278990847470548</v>
      </c>
    </row>
    <row r="124" spans="2:15" s="26" customFormat="1" ht="19.95" customHeight="1" x14ac:dyDescent="0.3">
      <c r="B124" s="33" t="s">
        <v>331</v>
      </c>
      <c r="C124" s="33"/>
      <c r="D124" s="33"/>
      <c r="E124" s="33"/>
      <c r="F124" s="33"/>
      <c r="G124" s="33"/>
      <c r="H124" s="27">
        <f t="shared" ref="H124:O124" si="15">SUM(H4:H123)</f>
        <v>703206.50838552031</v>
      </c>
      <c r="I124" s="27">
        <f t="shared" si="15"/>
        <v>164808.34285351218</v>
      </c>
      <c r="J124" s="27">
        <f t="shared" si="15"/>
        <v>1899.2929560000002</v>
      </c>
      <c r="K124" s="27">
        <f t="shared" si="15"/>
        <v>669658.19448046864</v>
      </c>
      <c r="L124" s="27">
        <f t="shared" si="15"/>
        <v>177263.97822572681</v>
      </c>
      <c r="M124" s="27">
        <f t="shared" si="15"/>
        <v>140654.94533474004</v>
      </c>
      <c r="N124" s="27">
        <f t="shared" si="15"/>
        <v>1857491.2622359672</v>
      </c>
      <c r="O124" s="28">
        <f t="shared" si="15"/>
        <v>38.179448614967804</v>
      </c>
    </row>
  </sheetData>
  <mergeCells count="20">
    <mergeCell ref="D91:O91"/>
    <mergeCell ref="D93:O93"/>
    <mergeCell ref="D105:O105"/>
    <mergeCell ref="D121:O121"/>
    <mergeCell ref="B124:G124"/>
    <mergeCell ref="D43:O43"/>
    <mergeCell ref="D49:O49"/>
    <mergeCell ref="D55:O55"/>
    <mergeCell ref="D60:O60"/>
    <mergeCell ref="D66:O66"/>
    <mergeCell ref="D21:O21"/>
    <mergeCell ref="D23:O23"/>
    <mergeCell ref="D27:O27"/>
    <mergeCell ref="D34:O34"/>
    <mergeCell ref="D36:O36"/>
    <mergeCell ref="B2:L3"/>
    <mergeCell ref="M2:N2"/>
    <mergeCell ref="M3:N3"/>
    <mergeCell ref="D4:O4"/>
    <mergeCell ref="D13:O13"/>
  </mergeCells>
  <pageMargins left="0.7" right="0.7" top="0.75" bottom="0.75" header="0.3" footer="0.3"/>
  <pageSetup paperSize="9" fitToHeight="0" orientation="landscape" horizontalDpi="4294967295" verticalDpi="4294967295"/>
  <headerFooter>
    <oddHeader>&amp;C&amp;KCCCCCC&amp;"Arial"1.12. МКД коридорного типа с газоснабжением, с уборкой мест общего пользования и придомовой территории ООО Квартал 2025</oddHeader>
    <oddFooter>Стр.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</vt:lpstr>
      <vt:lpstr>Смета!Заголовки_для_печати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1.12. МКД коридорного типа с газоснабжением, с уборкой мест общего пользования и придомовой территории ООО Квартал 2025</dc:title>
  <dc:subject/>
  <dc:creator/>
  <cp:keywords/>
  <dc:description/>
  <cp:lastModifiedBy/>
  <cp:lastPrinted>2024-11-25T09:14:22Z</cp:lastPrinted>
  <dcterms:created xsi:type="dcterms:W3CDTF">2024-11-25T09:14:22Z</dcterms:created>
  <dcterms:modified xsi:type="dcterms:W3CDTF">2024-11-25T09:16:10Z</dcterms:modified>
  <cp:category/>
</cp:coreProperties>
</file>